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2-Templates\1-New_Program_Proposal_Templates\6_Multi-Year Budget\"/>
    </mc:Choice>
  </mc:AlternateContent>
  <bookViews>
    <workbookView xWindow="0" yWindow="0" windowWidth="25200" windowHeight="10785"/>
  </bookViews>
  <sheets>
    <sheet name="Coversheet" sheetId="8" r:id="rId1"/>
    <sheet name="Tuition Comparison" sheetId="10" r:id="rId2"/>
    <sheet name="Input Area" sheetId="2" r:id="rId3"/>
    <sheet name="Tuition Summary (view only)" sheetId="5" r:id="rId4"/>
    <sheet name="Budget (view only)" sheetId="3" r:id="rId5"/>
    <sheet name="Obj Data (view only)" sheetId="1" r:id="rId6"/>
    <sheet name="$ Data (view only)" sheetId="7" r:id="rId7"/>
  </sheets>
  <definedNames>
    <definedName name="_xlnm.Print_Area" localSheetId="4">'Budget (view only)'!$A$1:$J$108</definedName>
    <definedName name="_xlnm.Print_Area" localSheetId="0">Coversheet!$A$1:$E$47</definedName>
    <definedName name="_xlnm.Print_Area" localSheetId="2">'Input Area'!$A$1:$T$78</definedName>
    <definedName name="_xlnm.Print_Area" localSheetId="1">'Tuition Comparison'!$A$1:$F$40</definedName>
    <definedName name="_xlnm.Print_Titles" localSheetId="4">'Budget (view only)'!$1:$7</definedName>
    <definedName name="Will_the_program_run_continuously?__Y_N" comment="Only a &quot;Y&quot; or a &quot;N&quot; should be entered here." localSheetId="0">#REF!</definedName>
    <definedName name="Will_the_program_run_continuously?__Y_N" comment="Only a &quot;Y&quot; or a &quot;N&quot; should be entered here.">#REF!</definedName>
  </definedNames>
  <calcPr calcId="152511"/>
</workbook>
</file>

<file path=xl/calcChain.xml><?xml version="1.0" encoding="utf-8"?>
<calcChain xmlns="http://schemas.openxmlformats.org/spreadsheetml/2006/main">
  <c r="D4" i="8" l="1"/>
  <c r="D5" i="2" l="1"/>
  <c r="B11" i="10"/>
  <c r="B10" i="10"/>
  <c r="B9" i="10"/>
  <c r="B8" i="10"/>
  <c r="B7" i="10"/>
  <c r="A18" i="10" l="1"/>
  <c r="B12" i="10"/>
  <c r="B13" i="10" l="1"/>
  <c r="E15" i="2"/>
  <c r="E5" i="3"/>
  <c r="C31" i="2" l="1"/>
  <c r="E33" i="2" s="1"/>
  <c r="E7" i="3"/>
  <c r="E17" i="2"/>
  <c r="E82" i="2"/>
  <c r="C4" i="5"/>
  <c r="E44" i="2"/>
  <c r="C38" i="5"/>
  <c r="E56" i="2"/>
  <c r="H15" i="2"/>
  <c r="F7" i="3" s="1"/>
  <c r="D85" i="2"/>
  <c r="D86" i="2"/>
  <c r="D87" i="2"/>
  <c r="D88" i="2"/>
  <c r="D89" i="2"/>
  <c r="D90" i="2"/>
  <c r="D91" i="2"/>
  <c r="D84" i="2"/>
  <c r="F1" i="5"/>
  <c r="E1" i="3"/>
  <c r="I3" i="5"/>
  <c r="D63" i="2"/>
  <c r="D64" i="2"/>
  <c r="D65" i="2"/>
  <c r="D66" i="2"/>
  <c r="D67" i="2"/>
  <c r="D68" i="2"/>
  <c r="D69" i="2"/>
  <c r="D70" i="2"/>
  <c r="D71" i="2"/>
  <c r="D72" i="2"/>
  <c r="D73" i="2"/>
  <c r="D74" i="2"/>
  <c r="D75" i="2"/>
  <c r="D76" i="2"/>
  <c r="D77" i="2"/>
  <c r="D62" i="2"/>
  <c r="C58" i="5" l="1"/>
  <c r="D59" i="5"/>
  <c r="E60" i="5"/>
  <c r="C62" i="5"/>
  <c r="D63" i="5"/>
  <c r="E64" i="5"/>
  <c r="E43" i="5"/>
  <c r="E47" i="5"/>
  <c r="E42" i="5"/>
  <c r="D46" i="5"/>
  <c r="D50" i="5"/>
  <c r="C45" i="5"/>
  <c r="C49" i="5"/>
  <c r="D57" i="5"/>
  <c r="E58" i="5"/>
  <c r="C60" i="5"/>
  <c r="D61" i="5"/>
  <c r="E62" i="5"/>
  <c r="C64" i="5"/>
  <c r="D56" i="5"/>
  <c r="E45" i="5"/>
  <c r="E49" i="5"/>
  <c r="D44" i="5"/>
  <c r="D48" i="5"/>
  <c r="C43" i="5"/>
  <c r="C47" i="5"/>
  <c r="C42" i="5"/>
  <c r="D58" i="5"/>
  <c r="C61" i="5"/>
  <c r="E63" i="5"/>
  <c r="D47" i="5"/>
  <c r="C59" i="5"/>
  <c r="D64" i="5"/>
  <c r="D49" i="5"/>
  <c r="C57" i="5"/>
  <c r="E59" i="5"/>
  <c r="D62" i="5"/>
  <c r="E56" i="5"/>
  <c r="E44" i="5"/>
  <c r="D43" i="5"/>
  <c r="D42" i="5"/>
  <c r="C50" i="5"/>
  <c r="E57" i="5"/>
  <c r="D60" i="5"/>
  <c r="C63" i="5"/>
  <c r="C56" i="5"/>
  <c r="E46" i="5"/>
  <c r="D45" i="5"/>
  <c r="C44" i="5"/>
  <c r="E48" i="5"/>
  <c r="C46" i="5"/>
  <c r="E61" i="5"/>
  <c r="E50" i="5"/>
  <c r="C48" i="5"/>
  <c r="F17" i="2"/>
  <c r="G17" i="2"/>
  <c r="H17" i="2" s="1"/>
  <c r="I17" i="2" s="1"/>
  <c r="J17" i="2" s="1"/>
  <c r="K17" i="2" s="1"/>
  <c r="L17" i="2" s="1"/>
  <c r="M17" i="2" s="1"/>
  <c r="N17" i="2" s="1"/>
  <c r="O17" i="2" s="1"/>
  <c r="P17" i="2" s="1"/>
  <c r="Q17" i="2" s="1"/>
  <c r="R17" i="2" s="1"/>
  <c r="S17" i="2" s="1"/>
  <c r="F38" i="5"/>
  <c r="F44" i="2"/>
  <c r="F4" i="5"/>
  <c r="F56" i="2"/>
  <c r="F31" i="2"/>
  <c r="F82" i="2" s="1"/>
  <c r="K15" i="2"/>
  <c r="G7" i="3" s="1"/>
  <c r="F92" i="2"/>
  <c r="G92" i="2"/>
  <c r="H92" i="2"/>
  <c r="I92" i="2"/>
  <c r="E92" i="2"/>
  <c r="I79" i="3"/>
  <c r="D58" i="2"/>
  <c r="D59" i="2"/>
  <c r="D60" i="2"/>
  <c r="D61" i="2"/>
  <c r="D57" i="2"/>
  <c r="D46" i="2"/>
  <c r="D47" i="2"/>
  <c r="D48" i="2"/>
  <c r="D49" i="2"/>
  <c r="D50" i="2"/>
  <c r="D51" i="2"/>
  <c r="D45" i="2"/>
  <c r="A95" i="3"/>
  <c r="A94" i="3"/>
  <c r="J7" i="2"/>
  <c r="K95" i="3"/>
  <c r="H57" i="5" l="1"/>
  <c r="F59" i="5"/>
  <c r="G60" i="5"/>
  <c r="H61" i="5"/>
  <c r="F63" i="5"/>
  <c r="G64" i="5"/>
  <c r="F56" i="5"/>
  <c r="H46" i="5"/>
  <c r="H50" i="5"/>
  <c r="G45" i="5"/>
  <c r="G49" i="5"/>
  <c r="F44" i="5"/>
  <c r="F48" i="5"/>
  <c r="F57" i="5"/>
  <c r="G58" i="5"/>
  <c r="H59" i="5"/>
  <c r="F61" i="5"/>
  <c r="G62" i="5"/>
  <c r="H63" i="5"/>
  <c r="H56" i="5"/>
  <c r="H44" i="5"/>
  <c r="H48" i="5"/>
  <c r="G43" i="5"/>
  <c r="G47" i="5"/>
  <c r="G42" i="5"/>
  <c r="F46" i="5"/>
  <c r="F50" i="5"/>
  <c r="G59" i="5"/>
  <c r="F62" i="5"/>
  <c r="H64" i="5"/>
  <c r="G50" i="5"/>
  <c r="G57" i="5"/>
  <c r="H62" i="5"/>
  <c r="G44" i="5"/>
  <c r="F42" i="5"/>
  <c r="F58" i="5"/>
  <c r="H60" i="5"/>
  <c r="G63" i="5"/>
  <c r="H47" i="5"/>
  <c r="G46" i="5"/>
  <c r="F45" i="5"/>
  <c r="H58" i="5"/>
  <c r="G61" i="5"/>
  <c r="F64" i="5"/>
  <c r="H49" i="5"/>
  <c r="G48" i="5"/>
  <c r="F47" i="5"/>
  <c r="H43" i="5"/>
  <c r="H42" i="5"/>
  <c r="F49" i="5"/>
  <c r="F60" i="5"/>
  <c r="G56" i="5"/>
  <c r="H45" i="5"/>
  <c r="F43" i="5"/>
  <c r="I4" i="5"/>
  <c r="I38" i="5"/>
  <c r="G56" i="2"/>
  <c r="G44" i="2"/>
  <c r="N15" i="2"/>
  <c r="H7" i="3" s="1"/>
  <c r="I31" i="2"/>
  <c r="G82" i="2" s="1"/>
  <c r="G78" i="3"/>
  <c r="H79" i="3"/>
  <c r="E78" i="3"/>
  <c r="F78" i="3"/>
  <c r="G79" i="3"/>
  <c r="I78" i="3"/>
  <c r="I80" i="3" s="1"/>
  <c r="E79" i="3"/>
  <c r="F79" i="3"/>
  <c r="H78" i="3"/>
  <c r="H5" i="7"/>
  <c r="H6" i="7" s="1"/>
  <c r="H7" i="7" s="1"/>
  <c r="H8" i="7" s="1"/>
  <c r="H9" i="7" s="1"/>
  <c r="H10" i="7" s="1"/>
  <c r="H11" i="7" s="1"/>
  <c r="H12" i="7" s="1"/>
  <c r="H13" i="7" s="1"/>
  <c r="H14" i="7" s="1"/>
  <c r="H15" i="7" s="1"/>
  <c r="H4" i="7"/>
  <c r="H3" i="7"/>
  <c r="G3" i="7"/>
  <c r="G7" i="7"/>
  <c r="G8" i="7"/>
  <c r="G9" i="7" s="1"/>
  <c r="G10" i="7" s="1"/>
  <c r="G11" i="7" s="1"/>
  <c r="G12" i="7" s="1"/>
  <c r="G13" i="7" s="1"/>
  <c r="G14" i="7" s="1"/>
  <c r="G15" i="7" s="1"/>
  <c r="G6" i="7"/>
  <c r="G5" i="7"/>
  <c r="G4" i="7"/>
  <c r="J57" i="5" l="1"/>
  <c r="K58" i="5"/>
  <c r="I60" i="5"/>
  <c r="J61" i="5"/>
  <c r="K62" i="5"/>
  <c r="I64" i="5"/>
  <c r="J56" i="5"/>
  <c r="K45" i="5"/>
  <c r="K49" i="5"/>
  <c r="J44" i="5"/>
  <c r="J48" i="5"/>
  <c r="I43" i="5"/>
  <c r="I47" i="5"/>
  <c r="I42" i="5"/>
  <c r="I58" i="5"/>
  <c r="J59" i="5"/>
  <c r="K60" i="5"/>
  <c r="I62" i="5"/>
  <c r="J63" i="5"/>
  <c r="K64" i="5"/>
  <c r="K43" i="5"/>
  <c r="K47" i="5"/>
  <c r="K42" i="5"/>
  <c r="J46" i="5"/>
  <c r="J50" i="5"/>
  <c r="I45" i="5"/>
  <c r="I49" i="5"/>
  <c r="K57" i="5"/>
  <c r="J60" i="5"/>
  <c r="I63" i="5"/>
  <c r="I56" i="5"/>
  <c r="K46" i="5"/>
  <c r="I44" i="5"/>
  <c r="I61" i="5"/>
  <c r="K48" i="5"/>
  <c r="I46" i="5"/>
  <c r="I59" i="5"/>
  <c r="K61" i="5"/>
  <c r="J64" i="5"/>
  <c r="K50" i="5"/>
  <c r="J49" i="5"/>
  <c r="I48" i="5"/>
  <c r="I57" i="5"/>
  <c r="K59" i="5"/>
  <c r="J62" i="5"/>
  <c r="K56" i="5"/>
  <c r="K44" i="5"/>
  <c r="J43" i="5"/>
  <c r="J42" i="5"/>
  <c r="I50" i="5"/>
  <c r="J45" i="5"/>
  <c r="J58" i="5"/>
  <c r="K63" i="5"/>
  <c r="J47" i="5"/>
  <c r="L4" i="5"/>
  <c r="H56" i="2"/>
  <c r="L38" i="5"/>
  <c r="H44" i="2"/>
  <c r="L31" i="2"/>
  <c r="H82" i="2" s="1"/>
  <c r="Q15" i="2"/>
  <c r="I7" i="3" s="1"/>
  <c r="F80" i="3"/>
  <c r="E80" i="3"/>
  <c r="H80" i="3"/>
  <c r="G80" i="3"/>
  <c r="E7" i="7"/>
  <c r="E8" i="7"/>
  <c r="E9" i="7"/>
  <c r="E10" i="7"/>
  <c r="E11" i="7" s="1"/>
  <c r="E12" i="7" s="1"/>
  <c r="E13" i="7" s="1"/>
  <c r="E14" i="7" s="1"/>
  <c r="E15" i="7" s="1"/>
  <c r="E6" i="7"/>
  <c r="E5" i="7"/>
  <c r="I3" i="7"/>
  <c r="F5" i="7"/>
  <c r="F6" i="7" s="1"/>
  <c r="F7" i="7" s="1"/>
  <c r="F8" i="7" s="1"/>
  <c r="F9" i="7" s="1"/>
  <c r="F10" i="7" s="1"/>
  <c r="F11" i="7" s="1"/>
  <c r="F12" i="7" s="1"/>
  <c r="F13" i="7" s="1"/>
  <c r="F14" i="7" s="1"/>
  <c r="F15" i="7" s="1"/>
  <c r="F4" i="7"/>
  <c r="F3" i="7"/>
  <c r="E3" i="7"/>
  <c r="E4" i="7"/>
  <c r="L58" i="5" l="1"/>
  <c r="M59" i="5"/>
  <c r="N60" i="5"/>
  <c r="L62" i="5"/>
  <c r="M63" i="5"/>
  <c r="N64" i="5"/>
  <c r="N56" i="5"/>
  <c r="N44" i="5"/>
  <c r="N48" i="5"/>
  <c r="M43" i="5"/>
  <c r="M47" i="5"/>
  <c r="M42" i="5"/>
  <c r="L46" i="5"/>
  <c r="L50" i="5"/>
  <c r="M57" i="5"/>
  <c r="N58" i="5"/>
  <c r="L60" i="5"/>
  <c r="M61" i="5"/>
  <c r="N62" i="5"/>
  <c r="L64" i="5"/>
  <c r="L56" i="5"/>
  <c r="N46" i="5"/>
  <c r="N50" i="5"/>
  <c r="M45" i="5"/>
  <c r="M49" i="5"/>
  <c r="L44" i="5"/>
  <c r="L48" i="5"/>
  <c r="N57" i="5"/>
  <c r="L59" i="5"/>
  <c r="M60" i="5"/>
  <c r="N61" i="5"/>
  <c r="L63" i="5"/>
  <c r="M64" i="5"/>
  <c r="N59" i="5"/>
  <c r="N49" i="5"/>
  <c r="M48" i="5"/>
  <c r="N43" i="5"/>
  <c r="M50" i="5"/>
  <c r="L57" i="5"/>
  <c r="M62" i="5"/>
  <c r="M56" i="5"/>
  <c r="N45" i="5"/>
  <c r="M44" i="5"/>
  <c r="L43" i="5"/>
  <c r="L42" i="5"/>
  <c r="M58" i="5"/>
  <c r="N63" i="5"/>
  <c r="N47" i="5"/>
  <c r="M46" i="5"/>
  <c r="L45" i="5"/>
  <c r="L47" i="5"/>
  <c r="L61" i="5"/>
  <c r="N42" i="5"/>
  <c r="L49" i="5"/>
  <c r="O31" i="2"/>
  <c r="I82" i="2" s="1"/>
  <c r="I56" i="2"/>
  <c r="O38" i="5"/>
  <c r="I44" i="2"/>
  <c r="O4" i="5"/>
  <c r="L5" i="7"/>
  <c r="L6" i="7"/>
  <c r="L7" i="7" s="1"/>
  <c r="L8" i="7" s="1"/>
  <c r="L9" i="7" s="1"/>
  <c r="L10" i="7" s="1"/>
  <c r="L11" i="7" s="1"/>
  <c r="L12" i="7" s="1"/>
  <c r="L13" i="7" s="1"/>
  <c r="L14" i="7" s="1"/>
  <c r="L15" i="7" s="1"/>
  <c r="L4" i="7"/>
  <c r="K6" i="7"/>
  <c r="K7" i="7"/>
  <c r="K8" i="7" s="1"/>
  <c r="K9" i="7" s="1"/>
  <c r="K10" i="7" s="1"/>
  <c r="K11" i="7" s="1"/>
  <c r="K12" i="7" s="1"/>
  <c r="K13" i="7" s="1"/>
  <c r="K14" i="7" s="1"/>
  <c r="K15" i="7" s="1"/>
  <c r="K5" i="7"/>
  <c r="K4" i="7"/>
  <c r="I8" i="7"/>
  <c r="I9" i="7"/>
  <c r="I10" i="7" s="1"/>
  <c r="I11" i="7" s="1"/>
  <c r="I12" i="7" s="1"/>
  <c r="I13" i="7" s="1"/>
  <c r="I14" i="7" s="1"/>
  <c r="I15" i="7" s="1"/>
  <c r="I7" i="7"/>
  <c r="I6" i="7"/>
  <c r="I5" i="7"/>
  <c r="I4" i="7"/>
  <c r="O58" i="5" l="1"/>
  <c r="P59" i="5"/>
  <c r="Q60" i="5"/>
  <c r="O62" i="5"/>
  <c r="P63" i="5"/>
  <c r="Q64" i="5"/>
  <c r="P43" i="5"/>
  <c r="P45" i="5"/>
  <c r="P47" i="5"/>
  <c r="P49" i="5"/>
  <c r="Q42" i="5"/>
  <c r="O45" i="5"/>
  <c r="O49" i="5"/>
  <c r="P57" i="5"/>
  <c r="Q58" i="5"/>
  <c r="O60" i="5"/>
  <c r="P61" i="5"/>
  <c r="Q62" i="5"/>
  <c r="O64" i="5"/>
  <c r="P56" i="5"/>
  <c r="P44" i="5"/>
  <c r="P46" i="5"/>
  <c r="P48" i="5"/>
  <c r="P50" i="5"/>
  <c r="O43" i="5"/>
  <c r="O47" i="5"/>
  <c r="O42" i="5"/>
  <c r="Q57" i="5"/>
  <c r="O59" i="5"/>
  <c r="P60" i="5"/>
  <c r="Q61" i="5"/>
  <c r="O63" i="5"/>
  <c r="P64" i="5"/>
  <c r="O57" i="5"/>
  <c r="P62" i="5"/>
  <c r="Q56" i="5"/>
  <c r="Q43" i="5"/>
  <c r="Q47" i="5"/>
  <c r="P42" i="5"/>
  <c r="O50" i="5"/>
  <c r="Q63" i="5"/>
  <c r="Q48" i="5"/>
  <c r="Q59" i="5"/>
  <c r="Q45" i="5"/>
  <c r="Q49" i="5"/>
  <c r="O46" i="5"/>
  <c r="O61" i="5"/>
  <c r="Q46" i="5"/>
  <c r="Q50" i="5"/>
  <c r="O48" i="5"/>
  <c r="P58" i="5"/>
  <c r="O56" i="5"/>
  <c r="Q44" i="5"/>
  <c r="O44" i="5"/>
  <c r="P41" i="2"/>
  <c r="O41" i="2"/>
  <c r="M41" i="2"/>
  <c r="L41" i="2"/>
  <c r="J41" i="2"/>
  <c r="I41" i="2"/>
  <c r="G41" i="2"/>
  <c r="F41" i="2"/>
  <c r="C41" i="2"/>
  <c r="D33" i="2"/>
  <c r="D41" i="2" s="1"/>
  <c r="I37" i="3"/>
  <c r="H37" i="3"/>
  <c r="G37" i="3"/>
  <c r="F37" i="3"/>
  <c r="E37" i="3"/>
  <c r="J4" i="7" l="1"/>
  <c r="J5" i="7" s="1"/>
  <c r="J6" i="7" s="1"/>
  <c r="J7" i="7" s="1"/>
  <c r="J8" i="7" s="1"/>
  <c r="J9" i="7" s="1"/>
  <c r="J10" i="7" s="1"/>
  <c r="J11" i="7" s="1"/>
  <c r="J12" i="7" s="1"/>
  <c r="J13" i="7" s="1"/>
  <c r="J14" i="7" s="1"/>
  <c r="J15" i="7" s="1"/>
  <c r="D4" i="7" l="1"/>
  <c r="D5" i="7" s="1"/>
  <c r="D6" i="7" s="1"/>
  <c r="D7" i="7" s="1"/>
  <c r="D8" i="7" s="1"/>
  <c r="D9" i="7" s="1"/>
  <c r="D10" i="7" s="1"/>
  <c r="D11" i="7" s="1"/>
  <c r="D12" i="7" s="1"/>
  <c r="D13" i="7" s="1"/>
  <c r="D14" i="7" s="1"/>
  <c r="D15" i="7" s="1"/>
  <c r="C5" i="7"/>
  <c r="C7" i="7" s="1"/>
  <c r="C4" i="7"/>
  <c r="B4" i="7"/>
  <c r="B5" i="7" s="1"/>
  <c r="B6" i="7" s="1"/>
  <c r="B7" i="7" s="1"/>
  <c r="B8" i="7" s="1"/>
  <c r="B9" i="7" s="1"/>
  <c r="B10" i="7" s="1"/>
  <c r="B11" i="7" s="1"/>
  <c r="B12" i="7" s="1"/>
  <c r="B13" i="7" s="1"/>
  <c r="B14" i="7" s="1"/>
  <c r="B15" i="7" s="1"/>
  <c r="C8" i="7" l="1"/>
  <c r="C9" i="7"/>
  <c r="C6" i="7"/>
  <c r="O21" i="5"/>
  <c r="P21" i="5"/>
  <c r="Q21" i="5"/>
  <c r="O22" i="5"/>
  <c r="P22" i="5"/>
  <c r="Q22" i="5"/>
  <c r="O23" i="5"/>
  <c r="P23" i="5"/>
  <c r="Q23" i="5"/>
  <c r="O24" i="5"/>
  <c r="P24" i="5"/>
  <c r="Q24" i="5"/>
  <c r="O25" i="5"/>
  <c r="P25" i="5"/>
  <c r="Q25" i="5"/>
  <c r="O26" i="5"/>
  <c r="P26" i="5"/>
  <c r="Q26" i="5"/>
  <c r="O27" i="5"/>
  <c r="P27" i="5"/>
  <c r="Q27" i="5"/>
  <c r="O28" i="5"/>
  <c r="P28" i="5"/>
  <c r="Q28" i="5"/>
  <c r="Q20" i="5"/>
  <c r="P20" i="5"/>
  <c r="O20" i="5"/>
  <c r="M21" i="5"/>
  <c r="N21" i="5"/>
  <c r="M22" i="5"/>
  <c r="N22" i="5"/>
  <c r="M23" i="5"/>
  <c r="N23" i="5"/>
  <c r="M24" i="5"/>
  <c r="N24" i="5"/>
  <c r="M25" i="5"/>
  <c r="N25" i="5"/>
  <c r="M26" i="5"/>
  <c r="N26" i="5"/>
  <c r="M27" i="5"/>
  <c r="N27" i="5"/>
  <c r="M28" i="5"/>
  <c r="N28" i="5"/>
  <c r="N20" i="5"/>
  <c r="M20" i="5"/>
  <c r="L21" i="5"/>
  <c r="L22" i="5"/>
  <c r="L23" i="5"/>
  <c r="L24" i="5"/>
  <c r="L25" i="5"/>
  <c r="L26" i="5"/>
  <c r="L27" i="5"/>
  <c r="L28" i="5"/>
  <c r="L20" i="5"/>
  <c r="J20" i="5"/>
  <c r="K20" i="5"/>
  <c r="J21" i="5"/>
  <c r="K21" i="5"/>
  <c r="J22" i="5"/>
  <c r="K22" i="5"/>
  <c r="J23" i="5"/>
  <c r="K23" i="5"/>
  <c r="J24" i="5"/>
  <c r="K24" i="5"/>
  <c r="J25" i="5"/>
  <c r="K25" i="5"/>
  <c r="J26" i="5"/>
  <c r="K26" i="5"/>
  <c r="J27" i="5"/>
  <c r="K27" i="5"/>
  <c r="J28" i="5"/>
  <c r="K28" i="5"/>
  <c r="I21" i="5"/>
  <c r="I22" i="5"/>
  <c r="I23" i="5"/>
  <c r="I24" i="5"/>
  <c r="I25" i="5"/>
  <c r="I26" i="5"/>
  <c r="I27" i="5"/>
  <c r="I28" i="5"/>
  <c r="I20" i="5"/>
  <c r="C11" i="7" l="1"/>
  <c r="C10" i="7"/>
  <c r="T19" i="2"/>
  <c r="T20" i="2"/>
  <c r="T21" i="2"/>
  <c r="T22" i="2"/>
  <c r="T23" i="2"/>
  <c r="T24" i="2"/>
  <c r="T25" i="2"/>
  <c r="T26" i="2"/>
  <c r="T18" i="2"/>
  <c r="Q8" i="2"/>
  <c r="A103" i="3"/>
  <c r="D3" i="3"/>
  <c r="D4" i="3"/>
  <c r="C13" i="7" l="1"/>
  <c r="C12" i="7"/>
  <c r="D24" i="5"/>
  <c r="G20" i="5"/>
  <c r="H20" i="5"/>
  <c r="G21" i="5"/>
  <c r="H21" i="5"/>
  <c r="G22" i="5"/>
  <c r="H22" i="5"/>
  <c r="G23" i="5"/>
  <c r="H23" i="5"/>
  <c r="G24" i="5"/>
  <c r="H24" i="5"/>
  <c r="G25" i="5"/>
  <c r="H25" i="5"/>
  <c r="G26" i="5"/>
  <c r="H26" i="5"/>
  <c r="G27" i="5"/>
  <c r="H27" i="5"/>
  <c r="G28" i="5"/>
  <c r="H28" i="5"/>
  <c r="F21" i="5"/>
  <c r="F22" i="5"/>
  <c r="F23" i="5"/>
  <c r="F24" i="5"/>
  <c r="F25" i="5"/>
  <c r="F26" i="5"/>
  <c r="F27" i="5"/>
  <c r="F28" i="5"/>
  <c r="F20" i="5"/>
  <c r="D20" i="5"/>
  <c r="E20" i="5"/>
  <c r="D21" i="5"/>
  <c r="E21" i="5"/>
  <c r="D22" i="5"/>
  <c r="E22" i="5"/>
  <c r="D23" i="5"/>
  <c r="E23" i="5"/>
  <c r="E24" i="5"/>
  <c r="D25" i="5"/>
  <c r="E25" i="5"/>
  <c r="D26" i="5"/>
  <c r="E26" i="5"/>
  <c r="D27" i="5"/>
  <c r="E27" i="5"/>
  <c r="D28" i="5"/>
  <c r="E28" i="5"/>
  <c r="C21" i="5"/>
  <c r="C22" i="5"/>
  <c r="C23" i="5"/>
  <c r="C24" i="5"/>
  <c r="C25" i="5"/>
  <c r="C26" i="5"/>
  <c r="C27" i="5"/>
  <c r="C28" i="5"/>
  <c r="C20" i="5"/>
  <c r="F3" i="5"/>
  <c r="Q9" i="5" s="1"/>
  <c r="K8" i="2"/>
  <c r="A8" i="2"/>
  <c r="C6" i="5"/>
  <c r="C40" i="5" l="1"/>
  <c r="E39" i="2"/>
  <c r="E35" i="2"/>
  <c r="E29" i="3" s="1"/>
  <c r="E34" i="2"/>
  <c r="E25" i="3" s="1"/>
  <c r="E36" i="2"/>
  <c r="E30" i="3" s="1"/>
  <c r="E40" i="2"/>
  <c r="E38" i="2"/>
  <c r="E23" i="3" s="1"/>
  <c r="E37" i="2"/>
  <c r="E31" i="3" s="1"/>
  <c r="C14" i="7"/>
  <c r="C15" i="7"/>
  <c r="E9" i="5"/>
  <c r="N16" i="5"/>
  <c r="D9" i="5"/>
  <c r="H9" i="5"/>
  <c r="L16" i="5"/>
  <c r="O11" i="5"/>
  <c r="C15" i="5"/>
  <c r="F10" i="5"/>
  <c r="J15" i="5"/>
  <c r="N12" i="5"/>
  <c r="P10" i="5"/>
  <c r="I13" i="5"/>
  <c r="P14" i="5"/>
  <c r="E8" i="5"/>
  <c r="H13" i="5"/>
  <c r="J11" i="5"/>
  <c r="N8" i="5"/>
  <c r="D13" i="5"/>
  <c r="F14" i="5"/>
  <c r="H11" i="5"/>
  <c r="I9" i="5"/>
  <c r="L12" i="5"/>
  <c r="C16" i="5"/>
  <c r="D8" i="5"/>
  <c r="D10" i="5"/>
  <c r="E10" i="5"/>
  <c r="F11" i="5"/>
  <c r="G14" i="5"/>
  <c r="G10" i="5"/>
  <c r="I14" i="5"/>
  <c r="K15" i="5"/>
  <c r="K11" i="5"/>
  <c r="L8" i="5"/>
  <c r="L9" i="5"/>
  <c r="M13" i="5"/>
  <c r="M9" i="5"/>
  <c r="O12" i="5"/>
  <c r="Q14" i="5"/>
  <c r="Q10" i="5"/>
  <c r="C12" i="5"/>
  <c r="D14" i="5"/>
  <c r="E14" i="5"/>
  <c r="F15" i="5"/>
  <c r="G16" i="5"/>
  <c r="G12" i="5"/>
  <c r="G8" i="5"/>
  <c r="I10" i="5"/>
  <c r="K13" i="5"/>
  <c r="K9" i="5"/>
  <c r="L13" i="5"/>
  <c r="M15" i="5"/>
  <c r="M11" i="5"/>
  <c r="O16" i="5"/>
  <c r="Q16" i="5"/>
  <c r="Q12" i="5"/>
  <c r="Q8" i="5"/>
  <c r="C11" i="5"/>
  <c r="E13" i="5"/>
  <c r="H15" i="5"/>
  <c r="I8" i="5"/>
  <c r="J13" i="5"/>
  <c r="J9" i="5"/>
  <c r="N14" i="5"/>
  <c r="N10" i="5"/>
  <c r="O15" i="5"/>
  <c r="P16" i="5"/>
  <c r="P12" i="5"/>
  <c r="P8" i="5"/>
  <c r="C10" i="5"/>
  <c r="C8" i="5"/>
  <c r="C13" i="5"/>
  <c r="C9" i="5"/>
  <c r="D15" i="5"/>
  <c r="D11" i="5"/>
  <c r="E15" i="5"/>
  <c r="E11" i="5"/>
  <c r="F16" i="5"/>
  <c r="F12" i="5"/>
  <c r="H16" i="5"/>
  <c r="H14" i="5"/>
  <c r="H12" i="5"/>
  <c r="H10" i="5"/>
  <c r="H8" i="5"/>
  <c r="I15" i="5"/>
  <c r="I11" i="5"/>
  <c r="J16" i="5"/>
  <c r="J14" i="5"/>
  <c r="J12" i="5"/>
  <c r="J10" i="5"/>
  <c r="J8" i="5"/>
  <c r="L14" i="5"/>
  <c r="L10" i="5"/>
  <c r="N15" i="5"/>
  <c r="N13" i="5"/>
  <c r="N11" i="5"/>
  <c r="N9" i="5"/>
  <c r="O8" i="5"/>
  <c r="O13" i="5"/>
  <c r="O9" i="5"/>
  <c r="P15" i="5"/>
  <c r="P13" i="5"/>
  <c r="P11" i="5"/>
  <c r="P9" i="5"/>
  <c r="C14" i="5"/>
  <c r="D16" i="5"/>
  <c r="D12" i="5"/>
  <c r="E16" i="5"/>
  <c r="E12" i="5"/>
  <c r="F8" i="5"/>
  <c r="F13" i="5"/>
  <c r="F9" i="5"/>
  <c r="G15" i="5"/>
  <c r="G13" i="5"/>
  <c r="G11" i="5"/>
  <c r="G9" i="5"/>
  <c r="I16" i="5"/>
  <c r="I12" i="5"/>
  <c r="K16" i="5"/>
  <c r="K14" i="5"/>
  <c r="K12" i="5"/>
  <c r="K10" i="5"/>
  <c r="K8" i="5"/>
  <c r="L15" i="5"/>
  <c r="L11" i="5"/>
  <c r="M16" i="5"/>
  <c r="M14" i="5"/>
  <c r="M12" i="5"/>
  <c r="M10" i="5"/>
  <c r="M8" i="5"/>
  <c r="O14" i="5"/>
  <c r="O10" i="5"/>
  <c r="Q15" i="5"/>
  <c r="Q13" i="5"/>
  <c r="Q11" i="5"/>
  <c r="E40" i="5"/>
  <c r="E26" i="3" l="1"/>
  <c r="H38" i="2"/>
  <c r="F23" i="3" s="1"/>
  <c r="H34" i="2"/>
  <c r="F25" i="3" s="1"/>
  <c r="H36" i="2"/>
  <c r="F30" i="3" s="1"/>
  <c r="H37" i="2"/>
  <c r="F31" i="3" s="1"/>
  <c r="H33" i="2"/>
  <c r="H40" i="2"/>
  <c r="H39" i="2"/>
  <c r="H35" i="2"/>
  <c r="F29" i="3" s="1"/>
  <c r="E24" i="3"/>
  <c r="E41" i="2"/>
  <c r="D6" i="5"/>
  <c r="D40" i="5"/>
  <c r="F40" i="5"/>
  <c r="E6" i="5"/>
  <c r="F26" i="3" l="1"/>
  <c r="K38" i="2"/>
  <c r="G23" i="3" s="1"/>
  <c r="K34" i="2"/>
  <c r="G25" i="3" s="1"/>
  <c r="K36" i="2"/>
  <c r="G30" i="3" s="1"/>
  <c r="K35" i="2"/>
  <c r="G29" i="3" s="1"/>
  <c r="K37" i="2"/>
  <c r="G31" i="3" s="1"/>
  <c r="K33" i="2"/>
  <c r="K40" i="2"/>
  <c r="K39" i="2"/>
  <c r="F24" i="3"/>
  <c r="H41" i="2"/>
  <c r="G40" i="5"/>
  <c r="F6" i="5"/>
  <c r="G26" i="3" l="1"/>
  <c r="N38" i="2"/>
  <c r="H23" i="3" s="1"/>
  <c r="N34" i="2"/>
  <c r="H25" i="3" s="1"/>
  <c r="N36" i="2"/>
  <c r="H30" i="3" s="1"/>
  <c r="N39" i="2"/>
  <c r="N35" i="2"/>
  <c r="H29" i="3" s="1"/>
  <c r="N37" i="2"/>
  <c r="H31" i="3" s="1"/>
  <c r="N33" i="2"/>
  <c r="N40" i="2"/>
  <c r="G24" i="3"/>
  <c r="K41" i="2"/>
  <c r="H40" i="5"/>
  <c r="G6" i="5"/>
  <c r="H26" i="3" l="1"/>
  <c r="Q38" i="2"/>
  <c r="I23" i="3" s="1"/>
  <c r="Q34" i="2"/>
  <c r="I25" i="3" s="1"/>
  <c r="Q36" i="2"/>
  <c r="I30" i="3" s="1"/>
  <c r="Q40" i="2"/>
  <c r="Q35" i="2"/>
  <c r="I29" i="3" s="1"/>
  <c r="Q37" i="2"/>
  <c r="I31" i="3" s="1"/>
  <c r="Q33" i="2"/>
  <c r="Q39" i="2"/>
  <c r="H24" i="3"/>
  <c r="N41" i="2"/>
  <c r="I40" i="5"/>
  <c r="H6" i="5"/>
  <c r="I26" i="3" l="1"/>
  <c r="I24" i="3"/>
  <c r="Q41" i="2"/>
  <c r="I6" i="5"/>
  <c r="J40" i="5"/>
  <c r="J6" i="5" l="1"/>
  <c r="K40" i="5"/>
  <c r="L40" i="5" l="1"/>
  <c r="K6" i="5"/>
  <c r="E57" i="3"/>
  <c r="F57" i="3"/>
  <c r="G57" i="3"/>
  <c r="H57" i="3"/>
  <c r="I57" i="3"/>
  <c r="E58" i="3"/>
  <c r="F58" i="3"/>
  <c r="G58" i="3"/>
  <c r="H58" i="3"/>
  <c r="I58" i="3"/>
  <c r="I59" i="3"/>
  <c r="H59" i="3"/>
  <c r="G59" i="3"/>
  <c r="F59" i="3"/>
  <c r="E59" i="3"/>
  <c r="E54" i="3"/>
  <c r="F54" i="3"/>
  <c r="G54" i="3"/>
  <c r="H54" i="3"/>
  <c r="I54" i="3"/>
  <c r="E48" i="3"/>
  <c r="F48" i="3"/>
  <c r="G48" i="3"/>
  <c r="H48" i="3"/>
  <c r="I48" i="3"/>
  <c r="E43" i="3"/>
  <c r="F43" i="3"/>
  <c r="G43" i="3"/>
  <c r="H43" i="3"/>
  <c r="I43" i="3"/>
  <c r="F32" i="3"/>
  <c r="G32" i="3"/>
  <c r="H32" i="3"/>
  <c r="I32" i="3"/>
  <c r="E32" i="3"/>
  <c r="F28" i="3"/>
  <c r="G28" i="3"/>
  <c r="H28" i="3"/>
  <c r="I28" i="3"/>
  <c r="E28" i="3"/>
  <c r="E27" i="3"/>
  <c r="E33" i="3" s="1"/>
  <c r="L6" i="5" l="1"/>
  <c r="M40" i="5"/>
  <c r="I56" i="3"/>
  <c r="G56" i="3"/>
  <c r="E56" i="3"/>
  <c r="F56" i="3"/>
  <c r="H56" i="3"/>
  <c r="M6" i="5" l="1"/>
  <c r="N40" i="5"/>
  <c r="E78" i="2"/>
  <c r="E62" i="3"/>
  <c r="F62" i="3"/>
  <c r="G62" i="3"/>
  <c r="H62" i="3"/>
  <c r="I62" i="3"/>
  <c r="E63" i="3"/>
  <c r="F63" i="3"/>
  <c r="G63" i="3"/>
  <c r="H63" i="3"/>
  <c r="I63" i="3"/>
  <c r="B13" i="5"/>
  <c r="B25" i="5" s="1"/>
  <c r="B14" i="5"/>
  <c r="B15" i="5"/>
  <c r="B27" i="5" s="1"/>
  <c r="B16" i="5"/>
  <c r="B28" i="5" s="1"/>
  <c r="A14" i="5"/>
  <c r="N6" i="5" l="1"/>
  <c r="O40" i="5"/>
  <c r="B26" i="5"/>
  <c r="B62" i="5"/>
  <c r="B48" i="5"/>
  <c r="A26" i="5"/>
  <c r="A48" i="5"/>
  <c r="A62" i="5"/>
  <c r="B9" i="5"/>
  <c r="B21" i="5" s="1"/>
  <c r="B10" i="5"/>
  <c r="B22" i="5" s="1"/>
  <c r="B11" i="5"/>
  <c r="B23" i="5" s="1"/>
  <c r="B12" i="5"/>
  <c r="B46" i="5" s="1"/>
  <c r="B8" i="5"/>
  <c r="B42" i="5" s="1"/>
  <c r="A9" i="5"/>
  <c r="A21" i="5" s="1"/>
  <c r="A10" i="5"/>
  <c r="A22" i="5" s="1"/>
  <c r="A11" i="5"/>
  <c r="A23" i="5" s="1"/>
  <c r="A12" i="5"/>
  <c r="A24" i="5" s="1"/>
  <c r="A13" i="5"/>
  <c r="A25" i="5" s="1"/>
  <c r="A15" i="5"/>
  <c r="A27" i="5" s="1"/>
  <c r="A16" i="5"/>
  <c r="A28" i="5" s="1"/>
  <c r="A8" i="5"/>
  <c r="A42" i="5" s="1"/>
  <c r="E44" i="3"/>
  <c r="F44" i="3"/>
  <c r="G44" i="3"/>
  <c r="H44" i="3"/>
  <c r="I44" i="3"/>
  <c r="B12" i="3"/>
  <c r="B20" i="3" s="1"/>
  <c r="K98" i="3" l="1"/>
  <c r="K84" i="3"/>
  <c r="A82" i="3"/>
  <c r="A93" i="3"/>
  <c r="O6" i="5"/>
  <c r="P40" i="5"/>
  <c r="A56" i="5"/>
  <c r="A60" i="5"/>
  <c r="A64" i="5"/>
  <c r="A59" i="5"/>
  <c r="A63" i="5"/>
  <c r="A58" i="5"/>
  <c r="A61" i="5"/>
  <c r="A57" i="5"/>
  <c r="B56" i="5"/>
  <c r="B64" i="5"/>
  <c r="B63" i="5"/>
  <c r="B61" i="5"/>
  <c r="B60" i="5"/>
  <c r="B59" i="5"/>
  <c r="B58" i="5"/>
  <c r="B57" i="5"/>
  <c r="B20" i="5"/>
  <c r="A47" i="5"/>
  <c r="A43" i="5"/>
  <c r="B47" i="5"/>
  <c r="B43" i="5"/>
  <c r="B24" i="5"/>
  <c r="A46" i="5"/>
  <c r="A20" i="5"/>
  <c r="A50" i="5"/>
  <c r="A45" i="5"/>
  <c r="B50" i="5"/>
  <c r="B45" i="5"/>
  <c r="A49" i="5"/>
  <c r="A44" i="5"/>
  <c r="B49" i="5"/>
  <c r="B44" i="5"/>
  <c r="F89" i="3"/>
  <c r="G89" i="3"/>
  <c r="H89" i="3"/>
  <c r="I89" i="3"/>
  <c r="E89" i="3"/>
  <c r="F78" i="2"/>
  <c r="G78" i="2"/>
  <c r="H78" i="2"/>
  <c r="I78" i="2"/>
  <c r="F52" i="2"/>
  <c r="G52" i="2"/>
  <c r="H52" i="2"/>
  <c r="I52" i="2"/>
  <c r="E52" i="2"/>
  <c r="F27" i="3"/>
  <c r="F33" i="3" s="1"/>
  <c r="G27" i="3"/>
  <c r="G33" i="3" s="1"/>
  <c r="H27" i="3"/>
  <c r="H33" i="3" s="1"/>
  <c r="I27" i="3"/>
  <c r="I33" i="3" s="1"/>
  <c r="E64" i="3"/>
  <c r="F64" i="3"/>
  <c r="G64" i="3"/>
  <c r="H64" i="3"/>
  <c r="I64" i="3"/>
  <c r="E65" i="3"/>
  <c r="F65" i="3"/>
  <c r="G65" i="3"/>
  <c r="H65" i="3"/>
  <c r="I65" i="3"/>
  <c r="E66" i="3"/>
  <c r="F66" i="3"/>
  <c r="G66" i="3"/>
  <c r="H66" i="3"/>
  <c r="I66" i="3"/>
  <c r="E67" i="3"/>
  <c r="F67" i="3"/>
  <c r="G67" i="3"/>
  <c r="H67" i="3"/>
  <c r="I67" i="3"/>
  <c r="E68" i="3"/>
  <c r="F68" i="3"/>
  <c r="G68" i="3"/>
  <c r="H68" i="3"/>
  <c r="I68" i="3"/>
  <c r="E69" i="3"/>
  <c r="F69" i="3"/>
  <c r="G69" i="3"/>
  <c r="H69" i="3"/>
  <c r="I69" i="3"/>
  <c r="E70" i="3"/>
  <c r="F70" i="3"/>
  <c r="G70" i="3"/>
  <c r="H70" i="3"/>
  <c r="I70" i="3"/>
  <c r="E71" i="3"/>
  <c r="F71" i="3"/>
  <c r="G71" i="3"/>
  <c r="H71" i="3"/>
  <c r="I71" i="3"/>
  <c r="E72" i="3"/>
  <c r="F72" i="3"/>
  <c r="G72" i="3"/>
  <c r="H72" i="3"/>
  <c r="I72" i="3"/>
  <c r="F61" i="3"/>
  <c r="G61" i="3"/>
  <c r="H61" i="3"/>
  <c r="I61" i="3"/>
  <c r="E61" i="3"/>
  <c r="F73" i="3"/>
  <c r="G73" i="3"/>
  <c r="H73" i="3"/>
  <c r="I73" i="3"/>
  <c r="E73" i="3"/>
  <c r="F53" i="3"/>
  <c r="G53" i="3"/>
  <c r="H53" i="3"/>
  <c r="I53" i="3"/>
  <c r="F55" i="3"/>
  <c r="G55" i="3"/>
  <c r="H55" i="3"/>
  <c r="I55" i="3"/>
  <c r="E55" i="3"/>
  <c r="E53" i="3"/>
  <c r="F51" i="3"/>
  <c r="G51" i="3"/>
  <c r="H51" i="3"/>
  <c r="I51" i="3"/>
  <c r="E51" i="3"/>
  <c r="F47" i="3"/>
  <c r="G47" i="3"/>
  <c r="H47" i="3"/>
  <c r="I47" i="3"/>
  <c r="F49" i="3"/>
  <c r="G49" i="3"/>
  <c r="H49" i="3"/>
  <c r="I49" i="3"/>
  <c r="F50" i="3"/>
  <c r="G50" i="3"/>
  <c r="H50" i="3"/>
  <c r="I50" i="3"/>
  <c r="E49" i="3"/>
  <c r="E50" i="3"/>
  <c r="E47" i="3"/>
  <c r="F40" i="3"/>
  <c r="G40" i="3"/>
  <c r="H40" i="3"/>
  <c r="I40" i="3"/>
  <c r="F41" i="3"/>
  <c r="G41" i="3"/>
  <c r="H41" i="3"/>
  <c r="I41" i="3"/>
  <c r="F42" i="3"/>
  <c r="G42" i="3"/>
  <c r="H42" i="3"/>
  <c r="I42" i="3"/>
  <c r="F45" i="3"/>
  <c r="G45" i="3"/>
  <c r="H45" i="3"/>
  <c r="I45" i="3"/>
  <c r="E41" i="3"/>
  <c r="E42" i="3"/>
  <c r="E45" i="3"/>
  <c r="E40" i="3"/>
  <c r="E35" i="3"/>
  <c r="F35" i="3"/>
  <c r="G35" i="3"/>
  <c r="H35" i="3"/>
  <c r="I35" i="3"/>
  <c r="E36" i="3"/>
  <c r="F36" i="3"/>
  <c r="G36" i="3"/>
  <c r="H36" i="3"/>
  <c r="I36" i="3"/>
  <c r="E38" i="3"/>
  <c r="F38" i="3"/>
  <c r="G38" i="3"/>
  <c r="H38" i="3"/>
  <c r="I38" i="3"/>
  <c r="F34" i="3"/>
  <c r="G34" i="3"/>
  <c r="H34" i="3"/>
  <c r="I34" i="3"/>
  <c r="E34" i="3"/>
  <c r="E17" i="3"/>
  <c r="F17" i="3"/>
  <c r="G17" i="3"/>
  <c r="H17" i="3"/>
  <c r="I17" i="3"/>
  <c r="E18" i="3"/>
  <c r="F18" i="3"/>
  <c r="G18" i="3"/>
  <c r="H18" i="3"/>
  <c r="I18" i="3"/>
  <c r="E19" i="3"/>
  <c r="F19" i="3"/>
  <c r="G19" i="3"/>
  <c r="H19" i="3"/>
  <c r="I19" i="3"/>
  <c r="F16" i="3"/>
  <c r="G16" i="3"/>
  <c r="H16" i="3"/>
  <c r="I16" i="3"/>
  <c r="E16" i="3"/>
  <c r="F9" i="3"/>
  <c r="G9" i="3"/>
  <c r="H9" i="3"/>
  <c r="I9" i="3"/>
  <c r="F10" i="3"/>
  <c r="G10" i="3"/>
  <c r="H10" i="3"/>
  <c r="I10" i="3"/>
  <c r="F11" i="3"/>
  <c r="G11" i="3"/>
  <c r="H11" i="3"/>
  <c r="I11" i="3"/>
  <c r="E10" i="3"/>
  <c r="E11" i="3"/>
  <c r="E9" i="3"/>
  <c r="P6" i="5" l="1"/>
  <c r="E22" i="3"/>
  <c r="I60" i="3"/>
  <c r="E46" i="3"/>
  <c r="I22" i="3"/>
  <c r="H22" i="3"/>
  <c r="I46" i="3"/>
  <c r="H46" i="3"/>
  <c r="G46" i="3"/>
  <c r="F46" i="3"/>
  <c r="G60" i="3"/>
  <c r="E60" i="3"/>
  <c r="H60" i="3"/>
  <c r="F60" i="3"/>
  <c r="E52" i="3"/>
  <c r="I52" i="3"/>
  <c r="H52" i="3"/>
  <c r="G52" i="3"/>
  <c r="F52" i="3"/>
  <c r="I39" i="3"/>
  <c r="H39" i="3"/>
  <c r="G39" i="3"/>
  <c r="F39" i="3"/>
  <c r="E39" i="3"/>
  <c r="Q6" i="5" l="1"/>
  <c r="Q40" i="5"/>
  <c r="E65" i="5"/>
  <c r="C51" i="5"/>
  <c r="E51" i="5"/>
  <c r="C65" i="5"/>
  <c r="D51" i="5"/>
  <c r="D17" i="5"/>
  <c r="E74" i="3"/>
  <c r="H74" i="3"/>
  <c r="I74" i="3"/>
  <c r="D65" i="5" l="1"/>
  <c r="C66" i="5" s="1"/>
  <c r="E17" i="5"/>
  <c r="C29" i="5"/>
  <c r="E29" i="5"/>
  <c r="C17" i="5"/>
  <c r="H65" i="5"/>
  <c r="D29" i="5"/>
  <c r="D31" i="5" s="1"/>
  <c r="H51" i="5"/>
  <c r="G51" i="5"/>
  <c r="G29" i="5"/>
  <c r="G65" i="5"/>
  <c r="C52" i="5"/>
  <c r="C18" i="5" l="1"/>
  <c r="E31" i="5"/>
  <c r="C31" i="5"/>
  <c r="H29" i="5"/>
  <c r="C30" i="5"/>
  <c r="C67" i="5" s="1"/>
  <c r="C68" i="5" s="1"/>
  <c r="E95" i="3" s="1"/>
  <c r="F51" i="5"/>
  <c r="F52" i="5" s="1"/>
  <c r="F17" i="5"/>
  <c r="J65" i="5"/>
  <c r="J51" i="5"/>
  <c r="K51" i="5"/>
  <c r="K65" i="5"/>
  <c r="H17" i="5"/>
  <c r="G17" i="5"/>
  <c r="G31" i="5" s="1"/>
  <c r="F65" i="5"/>
  <c r="F66" i="5" s="1"/>
  <c r="F29" i="5"/>
  <c r="G22" i="3"/>
  <c r="G74" i="3" s="1"/>
  <c r="F22" i="3"/>
  <c r="F74" i="3" s="1"/>
  <c r="E13" i="3" l="1"/>
  <c r="E94" i="3" s="1"/>
  <c r="C53" i="5"/>
  <c r="C54" i="5" s="1"/>
  <c r="F18" i="5"/>
  <c r="C32" i="5"/>
  <c r="N51" i="5"/>
  <c r="F30" i="5"/>
  <c r="H31" i="5"/>
  <c r="K17" i="5"/>
  <c r="E14" i="3"/>
  <c r="J29" i="5"/>
  <c r="J17" i="5"/>
  <c r="F31" i="5"/>
  <c r="K29" i="5"/>
  <c r="I65" i="5"/>
  <c r="I66" i="5" s="1"/>
  <c r="I29" i="5"/>
  <c r="I17" i="5"/>
  <c r="I51" i="5"/>
  <c r="I52" i="5" s="1"/>
  <c r="M51" i="5"/>
  <c r="F14" i="3" l="1"/>
  <c r="F67" i="5"/>
  <c r="F68" i="5" s="1"/>
  <c r="F95" i="3" s="1"/>
  <c r="F13" i="3"/>
  <c r="F94" i="3" s="1"/>
  <c r="F53" i="5"/>
  <c r="F54" i="5" s="1"/>
  <c r="E15" i="3"/>
  <c r="F32" i="5"/>
  <c r="Q51" i="5"/>
  <c r="N17" i="5"/>
  <c r="I18" i="5"/>
  <c r="I30" i="5"/>
  <c r="K31" i="5"/>
  <c r="P51" i="5"/>
  <c r="J31" i="5"/>
  <c r="M17" i="5"/>
  <c r="L51" i="5"/>
  <c r="L52" i="5" s="1"/>
  <c r="L17" i="5"/>
  <c r="N65" i="5"/>
  <c r="N29" i="5"/>
  <c r="I31" i="5"/>
  <c r="L65" i="5"/>
  <c r="L29" i="5"/>
  <c r="M65" i="5"/>
  <c r="M29" i="5"/>
  <c r="F15" i="3" l="1"/>
  <c r="F12" i="3" s="1"/>
  <c r="F20" i="3" s="1"/>
  <c r="F84" i="3" s="1"/>
  <c r="G14" i="3"/>
  <c r="I67" i="5"/>
  <c r="I68" i="5" s="1"/>
  <c r="G95" i="3" s="1"/>
  <c r="E12" i="3"/>
  <c r="E20" i="3" s="1"/>
  <c r="G13" i="3"/>
  <c r="G94" i="3" s="1"/>
  <c r="I53" i="5"/>
  <c r="I54" i="5" s="1"/>
  <c r="Q17" i="5"/>
  <c r="N31" i="5"/>
  <c r="P17" i="5"/>
  <c r="I32" i="5"/>
  <c r="M31" i="5"/>
  <c r="L30" i="5"/>
  <c r="L18" i="5"/>
  <c r="O65" i="5"/>
  <c r="O29" i="5"/>
  <c r="L66" i="5"/>
  <c r="L31" i="5"/>
  <c r="O51" i="5"/>
  <c r="O52" i="5" s="1"/>
  <c r="O17" i="5"/>
  <c r="P65" i="5"/>
  <c r="P29" i="5"/>
  <c r="Q65" i="5"/>
  <c r="Q29" i="5"/>
  <c r="F83" i="3" l="1"/>
  <c r="F85" i="3" s="1"/>
  <c r="E75" i="3"/>
  <c r="E83" i="3"/>
  <c r="F75" i="3"/>
  <c r="G15" i="3"/>
  <c r="G12" i="3" s="1"/>
  <c r="G20" i="3" s="1"/>
  <c r="G75" i="3" s="1"/>
  <c r="H14" i="3"/>
  <c r="L67" i="5"/>
  <c r="L68" i="5" s="1"/>
  <c r="H95" i="3" s="1"/>
  <c r="E84" i="3"/>
  <c r="H13" i="3"/>
  <c r="H94" i="3" s="1"/>
  <c r="L53" i="5"/>
  <c r="L54" i="5" s="1"/>
  <c r="Q31" i="5"/>
  <c r="P31" i="5"/>
  <c r="O31" i="5"/>
  <c r="L32" i="5"/>
  <c r="O18" i="5"/>
  <c r="O30" i="5"/>
  <c r="O67" i="5" s="1"/>
  <c r="O66" i="5"/>
  <c r="F87" i="3" l="1"/>
  <c r="F90" i="3" s="1"/>
  <c r="G83" i="3"/>
  <c r="E85" i="3"/>
  <c r="E93" i="3" s="1"/>
  <c r="E96" i="3" s="1"/>
  <c r="G84" i="3"/>
  <c r="O68" i="5"/>
  <c r="I95" i="3" s="1"/>
  <c r="H15" i="3"/>
  <c r="H12" i="3" s="1"/>
  <c r="H20" i="3" s="1"/>
  <c r="H84" i="3" s="1"/>
  <c r="F93" i="3"/>
  <c r="F96" i="3" s="1"/>
  <c r="I13" i="3"/>
  <c r="I94" i="3" s="1"/>
  <c r="O53" i="5"/>
  <c r="O54" i="5" s="1"/>
  <c r="O32" i="5"/>
  <c r="I14" i="3"/>
  <c r="E87" i="3" l="1"/>
  <c r="E90" i="3" s="1"/>
  <c r="E98" i="3" s="1"/>
  <c r="I15" i="3"/>
  <c r="I12" i="3" s="1"/>
  <c r="I20" i="3" s="1"/>
  <c r="I75" i="3" s="1"/>
  <c r="F98" i="3"/>
  <c r="G85" i="3"/>
  <c r="E101" i="3"/>
  <c r="F100" i="3" s="1"/>
  <c r="H83" i="3"/>
  <c r="H85" i="3" s="1"/>
  <c r="H75" i="3"/>
  <c r="G93" i="3"/>
  <c r="G96" i="3" s="1"/>
  <c r="F101" i="3" l="1"/>
  <c r="G100" i="3" s="1"/>
  <c r="H87" i="3"/>
  <c r="H90" i="3" s="1"/>
  <c r="G87" i="3"/>
  <c r="G90" i="3" s="1"/>
  <c r="G98" i="3" s="1"/>
  <c r="H93" i="3"/>
  <c r="H96" i="3" s="1"/>
  <c r="I84" i="3"/>
  <c r="I83" i="3"/>
  <c r="G101" i="3" l="1"/>
  <c r="H100" i="3" s="1"/>
  <c r="H98" i="3"/>
  <c r="I85" i="3"/>
  <c r="I87" i="3" s="1"/>
  <c r="H101" i="3" l="1"/>
  <c r="I100" i="3" s="1"/>
  <c r="I93" i="3"/>
  <c r="I96" i="3" s="1"/>
  <c r="I90" i="3"/>
  <c r="K90" i="3" s="1"/>
  <c r="I98" i="3" l="1"/>
  <c r="I101" i="3" s="1"/>
</calcChain>
</file>

<file path=xl/comments1.xml><?xml version="1.0" encoding="utf-8"?>
<comments xmlns="http://schemas.openxmlformats.org/spreadsheetml/2006/main">
  <authors>
    <author>Nikki Klaassen</author>
  </authors>
  <commentList>
    <comment ref="K2" authorId="0" shapeId="0">
      <text>
        <r>
          <rPr>
            <b/>
            <sz val="9"/>
            <color indexed="81"/>
            <rFont val="Tahoma"/>
            <family val="2"/>
          </rPr>
          <t>Nikki Klaassen:</t>
        </r>
        <r>
          <rPr>
            <sz val="9"/>
            <color indexed="81"/>
            <rFont val="Tahoma"/>
            <family val="2"/>
          </rPr>
          <t xml:space="preserve">
Sessionals paid on flat rate working less than half time receive 8% in lieu of non-eliigible benefits with a cap of 4 sections. 
Sessional paid on flat rate working more than half time receive 6% in lieu of non-eligible benefits with a cap of 8 sections per year.
Mathimatically there is little different in term of annualized cost between the two types of sessionals so for mulit-yr budgeting purposes we use one rate $6500+FB for 1617.</t>
        </r>
      </text>
    </comment>
  </commentList>
</comments>
</file>

<file path=xl/sharedStrings.xml><?xml version="1.0" encoding="utf-8"?>
<sst xmlns="http://schemas.openxmlformats.org/spreadsheetml/2006/main" count="414" uniqueCount="276">
  <si>
    <t>Category</t>
  </si>
  <si>
    <t>Obj code</t>
  </si>
  <si>
    <t>REVENUE</t>
  </si>
  <si>
    <t>Tuition - domestic</t>
  </si>
  <si>
    <t>Tuition - international</t>
  </si>
  <si>
    <t>Lab Fees</t>
  </si>
  <si>
    <t>Other Fees</t>
  </si>
  <si>
    <t>EXPENSES</t>
  </si>
  <si>
    <t>Other revenue</t>
  </si>
  <si>
    <t>VIUFA stipend</t>
  </si>
  <si>
    <t>BCGEU Admin Allowance</t>
  </si>
  <si>
    <t>CUPE allowance</t>
  </si>
  <si>
    <t>Students/Other</t>
  </si>
  <si>
    <t>Project Worker</t>
  </si>
  <si>
    <t>Honoraria</t>
  </si>
  <si>
    <t>Fee for service</t>
  </si>
  <si>
    <t>Advertising</t>
  </si>
  <si>
    <t>Program development</t>
  </si>
  <si>
    <t>Travel</t>
  </si>
  <si>
    <t>Articulation</t>
  </si>
  <si>
    <t>Conference fees</t>
  </si>
  <si>
    <t>Rental - equipment</t>
  </si>
  <si>
    <t>Phone - long distance</t>
  </si>
  <si>
    <t>Supplies</t>
  </si>
  <si>
    <t>Calendar</t>
  </si>
  <si>
    <t>Postage</t>
  </si>
  <si>
    <t>Hospitality</t>
  </si>
  <si>
    <t>VIU bookstore purchases</t>
  </si>
  <si>
    <t>Major supplies</t>
  </si>
  <si>
    <t>Memberships-subscriptions</t>
  </si>
  <si>
    <t>Printing/duplicating</t>
  </si>
  <si>
    <t>Cost of goods sold</t>
  </si>
  <si>
    <t>MULTI-YEAR BUDGET PLAN</t>
  </si>
  <si>
    <t>New</t>
  </si>
  <si>
    <t>What is the name of the program</t>
  </si>
  <si>
    <t>Classification</t>
  </si>
  <si>
    <t>PROGRAM QUESTIONS</t>
  </si>
  <si>
    <t>VIUFA F2</t>
  </si>
  <si>
    <t>VIUFA F1</t>
  </si>
  <si>
    <t>BCGEU</t>
  </si>
  <si>
    <t>CUPE</t>
  </si>
  <si>
    <t>ADMIN</t>
  </si>
  <si>
    <t>Legend:</t>
  </si>
  <si>
    <t>Data entry</t>
  </si>
  <si>
    <t>Drop down selection</t>
  </si>
  <si>
    <t># of credits per semester per student</t>
  </si>
  <si>
    <t>MM/DD/YY</t>
  </si>
  <si>
    <t>Your Name:</t>
  </si>
  <si>
    <t>Non-contractual PD</t>
  </si>
  <si>
    <t>obj code</t>
  </si>
  <si>
    <t>Prepared on date:</t>
  </si>
  <si>
    <t>for</t>
  </si>
  <si>
    <t>Budget prepared by:</t>
  </si>
  <si>
    <t>Budget prepared on:</t>
  </si>
  <si>
    <t>Revenues</t>
  </si>
  <si>
    <t>Government of Canada grants</t>
  </si>
  <si>
    <t>Province of British Columbia grants</t>
  </si>
  <si>
    <t>Other grants and contracts</t>
  </si>
  <si>
    <t>Lab fees</t>
  </si>
  <si>
    <t>Other fees</t>
  </si>
  <si>
    <t>Sale of goods &amp; services</t>
  </si>
  <si>
    <t>Expenditures</t>
  </si>
  <si>
    <t>Salaries &amp; benefits</t>
  </si>
  <si>
    <t>Administration</t>
  </si>
  <si>
    <t>VIUFA sessional</t>
  </si>
  <si>
    <t>VIUFA regular</t>
  </si>
  <si>
    <t>VIUFA technician</t>
  </si>
  <si>
    <t>Fringe</t>
  </si>
  <si>
    <t>Fees and purchases services</t>
  </si>
  <si>
    <t>Services</t>
  </si>
  <si>
    <t>Grants</t>
  </si>
  <si>
    <t>Travel and training</t>
  </si>
  <si>
    <t>Sale of Goods &amp; services</t>
  </si>
  <si>
    <t>Scholarships and Bursaries</t>
  </si>
  <si>
    <t>Equipment rental &amp; maintenance</t>
  </si>
  <si>
    <t>Vehicles - fuel</t>
  </si>
  <si>
    <t>Utilities, taxes &amp; insurance</t>
  </si>
  <si>
    <t>Materials &amp; supplies</t>
  </si>
  <si>
    <t>Accumulated Surplus(Deficit)</t>
  </si>
  <si>
    <t>Surplus (Deficit)</t>
  </si>
  <si>
    <t>Surplus (Deficit) including start-up costs</t>
  </si>
  <si>
    <t>Total non-tuition revenue</t>
  </si>
  <si>
    <t>Start-up costs (capital)</t>
  </si>
  <si>
    <t>INTERNATIONAL</t>
  </si>
  <si>
    <t>DOMESTIC</t>
  </si>
  <si>
    <t>Domestic total</t>
  </si>
  <si>
    <t>International total</t>
  </si>
  <si>
    <t>Fiscal Revenue</t>
  </si>
  <si>
    <t>Software</t>
  </si>
  <si>
    <t>Fiscal Yr Revenue</t>
  </si>
  <si>
    <t>Combined Revenue</t>
  </si>
  <si>
    <t>Revised Surplus (Deficit) after adjustments</t>
  </si>
  <si>
    <t>subtotal: tuition collected from students</t>
  </si>
  <si>
    <t xml:space="preserve">Cohort </t>
  </si>
  <si>
    <t>Brochures/Posters</t>
  </si>
  <si>
    <t>Publicity/promotion</t>
  </si>
  <si>
    <t>Licenses/permits</t>
  </si>
  <si>
    <r>
      <t xml:space="preserve">Data entry under certain conditions. </t>
    </r>
    <r>
      <rPr>
        <b/>
        <i/>
        <sz val="12"/>
        <color theme="1"/>
        <rFont val="Calibri"/>
        <family val="2"/>
        <scheme val="minor"/>
      </rPr>
      <t xml:space="preserve">A question will appear if required. </t>
    </r>
    <r>
      <rPr>
        <sz val="12"/>
        <color theme="1"/>
        <rFont val="Calibri"/>
        <family val="2"/>
        <scheme val="minor"/>
      </rPr>
      <t xml:space="preserve"> </t>
    </r>
  </si>
  <si>
    <t>Note: Fiscal year tuition is realized at 100% for Intersession/Summer Session and Fall semesters and the Spring semester is split 75%/25% between fiscal years.</t>
  </si>
  <si>
    <t>Total other expenditures</t>
  </si>
  <si>
    <t>This budget presents the revenues and expenditures for the described activity from an</t>
  </si>
  <si>
    <t>institutional perspective.  This is done deliberatly in order to ensure that the approving/</t>
  </si>
  <si>
    <t>reviewing person(s) is/are fully appraised of the potential impact from the activity.</t>
  </si>
  <si>
    <t>is the current rate</t>
  </si>
  <si>
    <t>PD is automatically calculated: $1,000 for each regular appointment (eg. annual FTE of 1.1 = $2,000 PD)</t>
  </si>
  <si>
    <t>VIUFA Professional development</t>
  </si>
  <si>
    <t>Please list all the expenses that will be incurred for the program excluding VIUFA PD and overhead (which will be automatically calculated)</t>
  </si>
  <si>
    <t>BCGEU term</t>
  </si>
  <si>
    <t>CUPE compliment is calculated using a proxy rating of C8-2.</t>
  </si>
  <si>
    <t>Laundry/linen</t>
  </si>
  <si>
    <t>Travel-student/non-employee</t>
  </si>
  <si>
    <t>Sub-category details. Usually from, or calculated based on, the Input Area tab details.</t>
  </si>
  <si>
    <t>Repairs - Furn &amp; equip</t>
  </si>
  <si>
    <t>Phone - equipment</t>
  </si>
  <si>
    <t>Cellular phone charges</t>
  </si>
  <si>
    <t>Phone - Long distance</t>
  </si>
  <si>
    <t>Stationary/office supplies</t>
  </si>
  <si>
    <t>Off Grant</t>
  </si>
  <si>
    <t>Operating</t>
  </si>
  <si>
    <t>Is the program new or replacing existing courses?</t>
  </si>
  <si>
    <t>Replacing existing</t>
  </si>
  <si>
    <t>What fiscal year is the program expected to launch?</t>
  </si>
  <si>
    <t>Fall</t>
  </si>
  <si>
    <t>Spring</t>
  </si>
  <si>
    <t>I or SS</t>
  </si>
  <si>
    <t>What will the initial rate of tuition per credit be?</t>
  </si>
  <si>
    <r>
      <t xml:space="preserve">Please provide the summary of students expected per Cohort. Must complete the details for at least 1 cohort. </t>
    </r>
    <r>
      <rPr>
        <b/>
        <i/>
        <u/>
        <sz val="11"/>
        <rFont val="Calibri"/>
        <family val="2"/>
        <scheme val="minor"/>
      </rPr>
      <t>SEE THE 'TUITION TABLE' TAB FOR SUMMARY OF TUITION REVENUE.</t>
    </r>
  </si>
  <si>
    <t>Step 2) STUDENT INFORMATION</t>
  </si>
  <si>
    <t>Step 1) PROGRAM INFORMATION</t>
  </si>
  <si>
    <r>
      <t xml:space="preserve">Use the annual attrition % as a way to discount the # of students for drop-outs, fill rates less than 100% etc. </t>
    </r>
    <r>
      <rPr>
        <b/>
        <i/>
        <u/>
        <sz val="11"/>
        <rFont val="Calibri"/>
        <family val="2"/>
        <scheme val="minor"/>
      </rPr>
      <t>Note: the rate will compound annually.</t>
    </r>
  </si>
  <si>
    <t>Step 4) NON-TUITION REVENUES &amp; NON-SALARY EXPENDITURES</t>
  </si>
  <si>
    <t>Revenue Description</t>
  </si>
  <si>
    <t>Expenditure Description</t>
  </si>
  <si>
    <t>Semester total</t>
  </si>
  <si>
    <t>Total Credits in program</t>
  </si>
  <si>
    <t>Only most common expenses are available in drop down list. If necessary choose an option close to the one you are looking for and add a comment.</t>
  </si>
  <si>
    <t>Summary of Tuition Revenue for:</t>
  </si>
  <si>
    <t># student Domestic</t>
  </si>
  <si>
    <t>Attrition % est.</t>
  </si>
  <si>
    <t># students Interntn'l</t>
  </si>
  <si>
    <r>
      <t xml:space="preserve">Comment on revenue (not required) </t>
    </r>
    <r>
      <rPr>
        <b/>
        <i/>
        <sz val="11"/>
        <color theme="1"/>
        <rFont val="Calibri"/>
        <family val="2"/>
        <scheme val="minor"/>
      </rPr>
      <t>can be used for internal references:</t>
    </r>
  </si>
  <si>
    <r>
      <t xml:space="preserve">Comment on expenditure (not required) </t>
    </r>
    <r>
      <rPr>
        <b/>
        <i/>
        <sz val="11"/>
        <color theme="1"/>
        <rFont val="Calibri"/>
        <family val="2"/>
        <scheme val="minor"/>
      </rPr>
      <t>can be used for internal references:</t>
    </r>
  </si>
  <si>
    <t>PVPA premium</t>
  </si>
  <si>
    <t>Minimum Institutional default</t>
  </si>
  <si>
    <t>Obj</t>
  </si>
  <si>
    <t>Carry Forward (for Off Grant programs only)</t>
  </si>
  <si>
    <t>FISCAL YEAR</t>
  </si>
  <si>
    <t>Year</t>
  </si>
  <si>
    <t>Sessional</t>
  </si>
  <si>
    <t>FISCAL year:</t>
  </si>
  <si>
    <t>A7-4 proxy</t>
  </si>
  <si>
    <t>C8-2 proxy</t>
  </si>
  <si>
    <t>3hr course</t>
  </si>
  <si>
    <t>4hr course</t>
  </si>
  <si>
    <t>rate of increase assumed</t>
  </si>
  <si>
    <t>2%/yr</t>
  </si>
  <si>
    <t>6%/2nd yr</t>
  </si>
  <si>
    <t>2%/yr 2021+</t>
  </si>
  <si>
    <t>1%/yr</t>
  </si>
  <si>
    <t>IE Transfer/ Dom. Credit</t>
  </si>
  <si>
    <t>Annual Cost 
excl. FB</t>
  </si>
  <si>
    <r>
      <t xml:space="preserve">This should include ALL direct instructional AND support time related to the activity and its administration. </t>
    </r>
    <r>
      <rPr>
        <b/>
        <i/>
        <u/>
        <sz val="11"/>
        <rFont val="Calibri"/>
        <family val="2"/>
        <scheme val="minor"/>
      </rPr>
      <t>REMINDER that top of scale is used for budgeting purposes.</t>
    </r>
  </si>
  <si>
    <r>
      <t># sec</t>
    </r>
    <r>
      <rPr>
        <b/>
        <sz val="10"/>
        <color theme="1"/>
        <rFont val="Calibri"/>
        <family val="2"/>
        <scheme val="minor"/>
      </rPr>
      <t xml:space="preserve"> 
Fiscal yr</t>
    </r>
  </si>
  <si>
    <t>FTE 
Fiscal</t>
  </si>
  <si>
    <t>Sessional 3hr
Flat rate + benefits in lieu</t>
  </si>
  <si>
    <t>Sessional 4hr
Flat rate + benefits in lieu</t>
  </si>
  <si>
    <t>SEE THE '$ Data' TAB FOR RATES.</t>
  </si>
  <si>
    <t>All values rounded</t>
  </si>
  <si>
    <t>Future E.S. Dividends not known so ignored.  All values rounded.</t>
  </si>
  <si>
    <t>BCGEU B1</t>
  </si>
  <si>
    <t>BCGEU term B6</t>
  </si>
  <si>
    <t>VIUFA 
F2-1</t>
  </si>
  <si>
    <t>VIUFA 
F1-11</t>
  </si>
  <si>
    <t>BCGEU 
B-1</t>
  </si>
  <si>
    <t>BCGEU 
term B-6</t>
  </si>
  <si>
    <t>CUPE 
C8-2</t>
  </si>
  <si>
    <t>ADMIN 
A7-4</t>
  </si>
  <si>
    <t>estimated values</t>
  </si>
  <si>
    <t>Note:</t>
  </si>
  <si>
    <t>Comments (not required):</t>
  </si>
  <si>
    <t>This template assumes that if you are replacing a program the Domestic rate was equal to the basic rate on the old program.</t>
  </si>
  <si>
    <t>Summary area for tuition adjustments on budget tab - used when the program will be in the Operating Fund</t>
  </si>
  <si>
    <r>
      <t>Note: the Tuition calculated for the budget will automatically adjust the selected/entered tuition per credit rates annually consistent with the tuition fee policy.</t>
    </r>
    <r>
      <rPr>
        <b/>
        <i/>
        <u/>
        <sz val="11"/>
        <rFont val="Calibri"/>
        <family val="2"/>
        <scheme val="minor"/>
      </rPr>
      <t xml:space="preserve"> See the '$ Data' tab for existing rates.</t>
    </r>
  </si>
  <si>
    <t>Domestic tuition- basic</t>
  </si>
  <si>
    <t>IE tuition- Undergrad</t>
  </si>
  <si>
    <t>Difference</t>
  </si>
  <si>
    <t>Subtotal</t>
  </si>
  <si>
    <t>TUITION TABLE</t>
  </si>
  <si>
    <t>ANNUAL SALARY TABLE</t>
  </si>
  <si>
    <t>Item</t>
  </si>
  <si>
    <t>Initial Tuition/credit as entered on Input Area tab:</t>
  </si>
  <si>
    <t xml:space="preserve">Values shown here are at the basic Domestic rate per credit - included for illustration purposes and does NOT impact the budget </t>
  </si>
  <si>
    <t>Total from above</t>
  </si>
  <si>
    <t>Values shown here are at the per credit transfer value of International Students in Domestic programs - The Faculty of International Education will 787 the transfer value to the domestic Faculty</t>
  </si>
  <si>
    <t>This represents the impact to the institution from the program</t>
  </si>
  <si>
    <t>Adjustments (only when program resides in Operating fund):</t>
  </si>
  <si>
    <t>Step 3) STAFFING MIX</t>
  </si>
  <si>
    <t>Step 5) TRANSFERS</t>
  </si>
  <si>
    <t xml:space="preserve">Transfers </t>
  </si>
  <si>
    <r>
      <t xml:space="preserve">Comment on Transfers (not required) </t>
    </r>
    <r>
      <rPr>
        <b/>
        <i/>
        <sz val="11"/>
        <color theme="1"/>
        <rFont val="Calibri"/>
        <family val="2"/>
        <scheme val="minor"/>
      </rPr>
      <t>can be used for internal references:</t>
    </r>
  </si>
  <si>
    <t>TRANSFER TYPE</t>
  </si>
  <si>
    <t>InTERfund</t>
  </si>
  <si>
    <t>InTRAfund</t>
  </si>
  <si>
    <t>Obj Code</t>
  </si>
  <si>
    <t>(IN)</t>
  </si>
  <si>
    <t>OUT</t>
  </si>
  <si>
    <t>Flow</t>
  </si>
  <si>
    <t>Type</t>
  </si>
  <si>
    <t>Offset CC</t>
  </si>
  <si>
    <t>Total net planned transfers</t>
  </si>
  <si>
    <t>Please list all planned transfers associated with the program (excluding any International transfer IN for International students in Domestic programs (which are calculated automatically on Tuition Summary page)</t>
  </si>
  <si>
    <t>InTERfund transfers (IN)OUT</t>
  </si>
  <si>
    <t>InTRAfund transfers (IN)OUT</t>
  </si>
  <si>
    <t>Planned Internal Transfers:</t>
  </si>
  <si>
    <t>Fund where program activity will reside</t>
  </si>
  <si>
    <t>TOTAL (salary only)</t>
  </si>
  <si>
    <t>a)</t>
  </si>
  <si>
    <t>Name of Program:</t>
  </si>
  <si>
    <t>b)</t>
  </si>
  <si>
    <t>Rate of tuition (see Tuition worksheet):</t>
  </si>
  <si>
    <t>c)</t>
  </si>
  <si>
    <t>Other mandatory fees:</t>
  </si>
  <si>
    <t>d)</t>
  </si>
  <si>
    <r>
      <t xml:space="preserve">Does this program charge standard per credit tuition?
</t>
    </r>
    <r>
      <rPr>
        <i/>
        <sz val="11"/>
        <color theme="1"/>
        <rFont val="Calibri"/>
        <family val="2"/>
        <scheme val="minor"/>
      </rPr>
      <t>If no, it is assumed that this program is wholly or partially cost-recovery.</t>
    </r>
  </si>
  <si>
    <t>e)</t>
  </si>
  <si>
    <t xml:space="preserve">Length of program: </t>
  </si>
  <si>
    <t>f)</t>
  </si>
  <si>
    <t>How long will it take the program to break-even?</t>
  </si>
  <si>
    <t>g)</t>
  </si>
  <si>
    <t>h)</t>
  </si>
  <si>
    <r>
      <t xml:space="preserve">Does the program financially impact other Faculties?
</t>
    </r>
    <r>
      <rPr>
        <i/>
        <sz val="11"/>
        <color theme="1"/>
        <rFont val="Calibri"/>
        <family val="2"/>
        <scheme val="minor"/>
      </rPr>
      <t xml:space="preserve">(e.g. regularization in other Faculties).
</t>
    </r>
  </si>
  <si>
    <t>i)</t>
  </si>
  <si>
    <t>Have you consulted Dean(s) who may be financially impacted and disclosed in the multi-year budget?</t>
  </si>
  <si>
    <t>Does the final budget reasonably capture the financial elements of the program and its start-up costs?</t>
  </si>
  <si>
    <t>Additional comments or remaining concerns:</t>
  </si>
  <si>
    <t>Final budget reviewer name:</t>
  </si>
  <si>
    <t>Joanne Brocklebank</t>
  </si>
  <si>
    <t>Date reviewed:</t>
  </si>
  <si>
    <t>Stephen Clements</t>
  </si>
  <si>
    <t>Wendy Young</t>
  </si>
  <si>
    <t>Nikki Klaassen</t>
  </si>
  <si>
    <t xml:space="preserve">SECTION 2: PROOF OF CONSULTATION </t>
  </si>
  <si>
    <r>
      <t xml:space="preserve">Finance requires at least </t>
    </r>
    <r>
      <rPr>
        <b/>
        <u/>
        <sz val="11"/>
        <color rgb="FFFF0000"/>
        <rFont val="Calibri"/>
        <family val="2"/>
        <scheme val="minor"/>
      </rPr>
      <t>3 weeks</t>
    </r>
    <r>
      <rPr>
        <b/>
        <sz val="11"/>
        <color rgb="FFFF0000"/>
        <rFont val="Calibri"/>
        <family val="2"/>
        <scheme val="minor"/>
      </rPr>
      <t xml:space="preserve"> to review new program budgets and proposal documents.</t>
    </r>
  </si>
  <si>
    <t>What source of funding will be used to support this program?</t>
  </si>
  <si>
    <t>Tuition (enhanced or cost recovery)</t>
  </si>
  <si>
    <t>Third party funding (no tuition)</t>
  </si>
  <si>
    <t>Other, please specify:</t>
  </si>
  <si>
    <t>Tuition (base grant or repurposing)</t>
  </si>
  <si>
    <r>
      <t xml:space="preserve">Comments: </t>
    </r>
    <r>
      <rPr>
        <i/>
        <sz val="11"/>
        <color theme="1"/>
        <rFont val="Calibri"/>
        <family val="2"/>
        <scheme val="minor"/>
      </rPr>
      <t>(e.g. rationale for operating program at a deficit, if additional resources are required to cover projected costs, where will the money come from?, etc...).</t>
    </r>
  </si>
  <si>
    <t>j)</t>
  </si>
  <si>
    <t>k)</t>
  </si>
  <si>
    <t>enter year</t>
  </si>
  <si>
    <t>NEW!</t>
  </si>
  <si>
    <t>Dean includes New Program Multi-Year Budget in Faculty’s Strategic Resource Plan.  Submitted in Fall:</t>
  </si>
  <si>
    <t>SECTION 1: MULTI-YEAR PROGRAM BUDGET COVERSHEET</t>
  </si>
  <si>
    <t>A Multi-Year Budget must accompany a completed program proposal. If changes to the Multi-Year Budget are required after P&amp;P, the revised budget must return to P&amp;P as an information item. P&amp;P provides comments to Senate on the financial and resource implications, if any, of proposals for new and revised programs.</t>
  </si>
  <si>
    <t>Institution</t>
  </si>
  <si>
    <t>Program</t>
  </si>
  <si>
    <t>Length</t>
  </si>
  <si>
    <t>VIU</t>
  </si>
  <si>
    <t>Domestic tuition per credit</t>
  </si>
  <si>
    <t>International tuition per credit</t>
  </si>
  <si>
    <t>Total credits</t>
  </si>
  <si>
    <t>Institution #1</t>
  </si>
  <si>
    <t>Institution #2</t>
  </si>
  <si>
    <t>Institution #3</t>
  </si>
  <si>
    <t>Institution #4</t>
  </si>
  <si>
    <t>within range of existing programs</t>
  </si>
  <si>
    <t>VIU's proposed program tuition rates are</t>
  </si>
  <si>
    <t>higher than existing programs</t>
  </si>
  <si>
    <t>Tuition Comparison</t>
  </si>
  <si>
    <t>Pick from list</t>
  </si>
  <si>
    <t>If your program is cost-recovery (i.e. charges non-standard tuition fees), please enter the tuition rates of similar programs offered at other institutions starting in column "C". Add/delete institutions as necessary.</t>
  </si>
  <si>
    <t>lower than existing programs</t>
  </si>
  <si>
    <t>Total domestic tuition fee</t>
  </si>
  <si>
    <t>Total International tuition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</si>
</sst>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_-* #,##0_-;\-* #,##0_-;_-* &quot;-&quot;_-;_-@_-"/>
    <numFmt numFmtId="165" formatCode="[$-1009]d\-mmm\-yy;@"/>
    <numFmt numFmtId="166" formatCode="_(* #,##0_);_(* \(#,##0\);_(* &quot;-&quot;??_);_(@_)"/>
    <numFmt numFmtId="167" formatCode="[$-409]d\-mmm\-yyyy;@"/>
    <numFmt numFmtId="168" formatCode="&quot;$&quot;#,##0.00"/>
    <numFmt numFmtId="169" formatCode="mmmm\ dd\,\ yyyy"/>
    <numFmt numFmtId="170" formatCode="[$-409]mmmm\ d\,\ yyyy;@"/>
    <numFmt numFmtId="171" formatCode="&quot;$&quot;#,##0"/>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6"/>
      <color rgb="FFFF0000"/>
      <name val="Calibri"/>
      <family val="2"/>
      <scheme val="minor"/>
    </font>
    <font>
      <i/>
      <sz val="11"/>
      <color theme="1"/>
      <name val="Calibri"/>
      <family val="2"/>
      <scheme val="minor"/>
    </font>
    <font>
      <i/>
      <u/>
      <sz val="11"/>
      <color theme="1"/>
      <name val="Calibri"/>
      <family val="2"/>
      <scheme val="minor"/>
    </font>
    <font>
      <i/>
      <sz val="11"/>
      <color rgb="FFFF0000"/>
      <name val="Calibri"/>
      <family val="2"/>
      <scheme val="minor"/>
    </font>
    <font>
      <sz val="12"/>
      <name val="Calibri"/>
      <family val="2"/>
      <scheme val="minor"/>
    </font>
    <font>
      <sz val="12"/>
      <color theme="1"/>
      <name val="Calibri"/>
      <family val="2"/>
      <scheme val="minor"/>
    </font>
    <font>
      <b/>
      <sz val="12"/>
      <color theme="1"/>
      <name val="Calibri"/>
      <family val="2"/>
      <scheme val="minor"/>
    </font>
    <font>
      <sz val="10"/>
      <name val="Arial"/>
      <family val="2"/>
    </font>
    <font>
      <sz val="11"/>
      <color rgb="FFFF0000"/>
      <name val="Calibri"/>
      <family val="2"/>
      <scheme val="minor"/>
    </font>
    <font>
      <b/>
      <u/>
      <sz val="14"/>
      <color theme="1"/>
      <name val="Calibri"/>
      <family val="2"/>
      <scheme val="minor"/>
    </font>
    <font>
      <i/>
      <u/>
      <sz val="11"/>
      <color rgb="FFFF0000"/>
      <name val="Calibri"/>
      <family val="2"/>
      <scheme val="minor"/>
    </font>
    <font>
      <sz val="11"/>
      <name val="Calibri"/>
      <family val="2"/>
      <scheme val="minor"/>
    </font>
    <font>
      <b/>
      <sz val="10"/>
      <color theme="1"/>
      <name val="Calibri"/>
      <family val="2"/>
      <scheme val="minor"/>
    </font>
    <font>
      <b/>
      <sz val="11"/>
      <name val="Calibri"/>
      <family val="2"/>
      <scheme val="minor"/>
    </font>
    <font>
      <b/>
      <sz val="14"/>
      <color rgb="FFFF0000"/>
      <name val="Calibri"/>
      <family val="2"/>
      <scheme val="minor"/>
    </font>
    <font>
      <b/>
      <sz val="16"/>
      <color theme="1"/>
      <name val="Calibri"/>
      <family val="2"/>
      <scheme val="minor"/>
    </font>
    <font>
      <i/>
      <sz val="10"/>
      <color theme="1"/>
      <name val="Calibri"/>
      <family val="2"/>
      <scheme val="minor"/>
    </font>
    <font>
      <b/>
      <i/>
      <sz val="11"/>
      <color theme="1"/>
      <name val="Calibri"/>
      <family val="2"/>
      <scheme val="minor"/>
    </font>
    <font>
      <b/>
      <sz val="11"/>
      <color rgb="FFFF0000"/>
      <name val="Calibri"/>
      <family val="2"/>
      <scheme val="minor"/>
    </font>
    <font>
      <b/>
      <i/>
      <sz val="11"/>
      <color rgb="FFFF0000"/>
      <name val="Calibri"/>
      <family val="2"/>
      <scheme val="minor"/>
    </font>
    <font>
      <b/>
      <i/>
      <sz val="12"/>
      <color theme="1"/>
      <name val="Calibri"/>
      <family val="2"/>
      <scheme val="minor"/>
    </font>
    <font>
      <b/>
      <sz val="16"/>
      <name val="Calibri"/>
      <family val="2"/>
      <scheme val="minor"/>
    </font>
    <font>
      <b/>
      <i/>
      <sz val="11"/>
      <name val="Calibri"/>
      <family val="2"/>
      <scheme val="minor"/>
    </font>
    <font>
      <b/>
      <i/>
      <u/>
      <sz val="11"/>
      <name val="Calibri"/>
      <family val="2"/>
      <scheme val="minor"/>
    </font>
    <font>
      <i/>
      <u/>
      <sz val="11"/>
      <name val="Calibri"/>
      <family val="2"/>
      <scheme val="minor"/>
    </font>
    <font>
      <i/>
      <sz val="11"/>
      <name val="Calibri"/>
      <family val="2"/>
      <scheme val="minor"/>
    </font>
    <font>
      <sz val="9"/>
      <color indexed="81"/>
      <name val="Tahoma"/>
      <family val="2"/>
    </font>
    <font>
      <b/>
      <sz val="9"/>
      <color indexed="81"/>
      <name val="Tahoma"/>
      <family val="2"/>
    </font>
    <font>
      <b/>
      <sz val="12"/>
      <color rgb="FFFF0000"/>
      <name val="Calibri"/>
      <family val="2"/>
      <scheme val="minor"/>
    </font>
    <font>
      <sz val="8"/>
      <color rgb="FF000000"/>
      <name val="Tahoma"/>
      <family val="2"/>
    </font>
    <font>
      <sz val="16"/>
      <color theme="0"/>
      <name val="Calibri"/>
      <family val="2"/>
      <scheme val="minor"/>
    </font>
    <font>
      <sz val="16"/>
      <color theme="1"/>
      <name val="Calibri"/>
      <family val="2"/>
      <scheme val="minor"/>
    </font>
    <font>
      <u/>
      <sz val="11"/>
      <color theme="10"/>
      <name val="Calibri"/>
      <family val="2"/>
      <scheme val="minor"/>
    </font>
    <font>
      <b/>
      <u/>
      <sz val="11"/>
      <color rgb="FFFF0000"/>
      <name val="Calibri"/>
      <family val="2"/>
      <scheme val="minor"/>
    </font>
    <font>
      <sz val="16"/>
      <color theme="9" tint="-0.249977111117893"/>
      <name val="Calibri"/>
      <family val="2"/>
      <scheme val="minor"/>
    </font>
    <font>
      <sz val="11"/>
      <color theme="9" tint="-0.249977111117893"/>
      <name val="Calibri"/>
      <family val="2"/>
      <scheme val="minor"/>
    </font>
    <font>
      <sz val="11"/>
      <color rgb="FF000000"/>
      <name val="Calibri"/>
      <family val="2"/>
      <scheme val="minor"/>
    </font>
    <font>
      <b/>
      <sz val="14"/>
      <color rgb="FF000000"/>
      <name val="Calibri"/>
      <family val="2"/>
      <scheme val="minor"/>
    </font>
    <font>
      <b/>
      <sz val="12"/>
      <color rgb="FF00B0F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6"/>
        <bgColor indexed="64"/>
      </patternFill>
    </fill>
    <fill>
      <patternFill patternType="gray0625">
        <bgColor theme="0"/>
      </patternFill>
    </fill>
    <fill>
      <patternFill patternType="solid">
        <fgColor theme="2"/>
        <bgColor indexed="64"/>
      </patternFill>
    </fill>
    <fill>
      <patternFill patternType="solid">
        <fgColor rgb="FFF1F5F9"/>
        <bgColor indexed="64"/>
      </patternFill>
    </fill>
    <fill>
      <patternFill patternType="solid">
        <fgColor theme="4"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4"/>
        <bgColor indexed="64"/>
      </patternFill>
    </fill>
    <fill>
      <patternFill patternType="solid">
        <fgColor rgb="FF00FF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xf numFmtId="9"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35" fillId="0" borderId="0" applyNumberFormat="0" applyFill="0" applyBorder="0" applyAlignment="0" applyProtection="0"/>
  </cellStyleXfs>
  <cellXfs count="453">
    <xf numFmtId="0" fontId="0" fillId="0" borderId="0" xfId="0"/>
    <xf numFmtId="0" fontId="3" fillId="0" borderId="0" xfId="0" applyFont="1" applyAlignment="1" applyProtection="1"/>
    <xf numFmtId="0" fontId="2" fillId="0" borderId="0" xfId="0" applyFont="1"/>
    <xf numFmtId="0" fontId="4" fillId="0" borderId="0" xfId="0" applyFont="1"/>
    <xf numFmtId="0" fontId="5" fillId="0" borderId="0" xfId="0" applyFont="1"/>
    <xf numFmtId="0" fontId="0" fillId="0" borderId="0" xfId="0" applyFont="1"/>
    <xf numFmtId="0" fontId="6" fillId="0" borderId="0" xfId="0" applyFont="1" applyAlignment="1">
      <alignment horizontal="right" indent="1"/>
    </xf>
    <xf numFmtId="0" fontId="6" fillId="0" borderId="0" xfId="0" applyFont="1" applyAlignment="1">
      <alignment horizontal="right"/>
    </xf>
    <xf numFmtId="165" fontId="0" fillId="0" borderId="0" xfId="0" applyNumberFormat="1" applyFill="1"/>
    <xf numFmtId="0" fontId="0" fillId="3" borderId="0" xfId="0" applyFill="1"/>
    <xf numFmtId="0" fontId="0" fillId="0" borderId="0" xfId="0"/>
    <xf numFmtId="0" fontId="8" fillId="0" borderId="0" xfId="0" applyFont="1" applyFill="1" applyAlignment="1" applyProtection="1"/>
    <xf numFmtId="0" fontId="7" fillId="0" borderId="0" xfId="2" applyFont="1" applyFill="1" applyAlignment="1" applyProtection="1">
      <alignment horizontal="center"/>
    </xf>
    <xf numFmtId="0" fontId="0" fillId="0" borderId="0" xfId="0" applyFill="1"/>
    <xf numFmtId="0" fontId="7" fillId="0" borderId="0" xfId="2" applyFont="1" applyFill="1" applyBorder="1" applyAlignment="1" applyProtection="1"/>
    <xf numFmtId="0" fontId="12" fillId="0" borderId="0" xfId="0" applyFont="1"/>
    <xf numFmtId="0" fontId="0" fillId="0" borderId="0" xfId="0" applyAlignment="1">
      <alignment wrapText="1"/>
    </xf>
    <xf numFmtId="0" fontId="0" fillId="0" borderId="0" xfId="0" applyAlignment="1">
      <alignment horizontal="center"/>
    </xf>
    <xf numFmtId="0" fontId="4" fillId="0" borderId="0" xfId="0" applyFont="1" applyAlignment="1">
      <alignment horizontal="right"/>
    </xf>
    <xf numFmtId="2" fontId="0" fillId="8" borderId="7" xfId="0" applyNumberFormat="1" applyFill="1" applyBorder="1"/>
    <xf numFmtId="0" fontId="0" fillId="8" borderId="8" xfId="0" applyFill="1" applyBorder="1"/>
    <xf numFmtId="0" fontId="2" fillId="0" borderId="19" xfId="0" applyFont="1" applyBorder="1" applyAlignment="1">
      <alignment horizontal="center" wrapText="1"/>
    </xf>
    <xf numFmtId="0" fontId="0" fillId="0" borderId="0" xfId="0" applyAlignment="1">
      <alignment horizontal="left" indent="2"/>
    </xf>
    <xf numFmtId="0" fontId="0" fillId="0" borderId="21" xfId="0" applyFill="1" applyBorder="1"/>
    <xf numFmtId="0" fontId="0" fillId="0" borderId="22" xfId="0" applyFill="1" applyBorder="1"/>
    <xf numFmtId="0" fontId="0" fillId="0" borderId="14" xfId="0" applyFill="1" applyBorder="1"/>
    <xf numFmtId="0" fontId="2" fillId="0" borderId="4" xfId="0" applyFont="1" applyFill="1" applyBorder="1" applyAlignment="1">
      <alignment horizontal="center"/>
    </xf>
    <xf numFmtId="0" fontId="13" fillId="0" borderId="0" xfId="0" applyFont="1"/>
    <xf numFmtId="0" fontId="0" fillId="3" borderId="0" xfId="0" applyFill="1" applyAlignment="1">
      <alignment horizontal="center"/>
    </xf>
    <xf numFmtId="0" fontId="2" fillId="3" borderId="0" xfId="0" applyFont="1" applyFill="1"/>
    <xf numFmtId="0" fontId="0" fillId="3" borderId="0" xfId="0" applyFill="1" applyAlignment="1">
      <alignment horizontal="left" indent="2"/>
    </xf>
    <xf numFmtId="0" fontId="0" fillId="3" borderId="2" xfId="0" applyFill="1" applyBorder="1"/>
    <xf numFmtId="0" fontId="2" fillId="3" borderId="0" xfId="0" applyFont="1" applyFill="1" applyAlignment="1">
      <alignment horizontal="center"/>
    </xf>
    <xf numFmtId="0" fontId="0" fillId="3" borderId="0" xfId="0" applyFill="1" applyAlignment="1"/>
    <xf numFmtId="0" fontId="0" fillId="3" borderId="0" xfId="0" applyFill="1" applyAlignment="1">
      <alignment horizontal="left"/>
    </xf>
    <xf numFmtId="0" fontId="0" fillId="3" borderId="0" xfId="0" applyFill="1" applyBorder="1"/>
    <xf numFmtId="0" fontId="2" fillId="3" borderId="18" xfId="0" applyFont="1" applyFill="1" applyBorder="1"/>
    <xf numFmtId="0" fontId="0" fillId="3" borderId="18" xfId="0" applyFill="1" applyBorder="1"/>
    <xf numFmtId="41" fontId="0" fillId="3" borderId="0" xfId="3" applyNumberFormat="1" applyFont="1" applyFill="1"/>
    <xf numFmtId="41" fontId="0" fillId="3" borderId="0" xfId="3" applyNumberFormat="1" applyFont="1" applyFill="1" applyAlignment="1"/>
    <xf numFmtId="41" fontId="0" fillId="7" borderId="0" xfId="3" applyNumberFormat="1" applyFont="1" applyFill="1"/>
    <xf numFmtId="41" fontId="0" fillId="3" borderId="2" xfId="3" applyNumberFormat="1" applyFont="1" applyFill="1" applyBorder="1"/>
    <xf numFmtId="41" fontId="0" fillId="3" borderId="18" xfId="3" applyNumberFormat="1" applyFont="1" applyFill="1" applyBorder="1"/>
    <xf numFmtId="41" fontId="0" fillId="3" borderId="0" xfId="3" applyNumberFormat="1" applyFont="1" applyFill="1" applyBorder="1"/>
    <xf numFmtId="0" fontId="2" fillId="3" borderId="2" xfId="0" applyFont="1" applyFill="1" applyBorder="1"/>
    <xf numFmtId="41" fontId="2" fillId="3" borderId="2" xfId="3" applyNumberFormat="1" applyFont="1" applyFill="1" applyBorder="1"/>
    <xf numFmtId="0" fontId="11" fillId="3" borderId="0" xfId="0" applyFont="1" applyFill="1"/>
    <xf numFmtId="41" fontId="11" fillId="3" borderId="0" xfId="3" applyNumberFormat="1" applyFont="1" applyFill="1" applyBorder="1"/>
    <xf numFmtId="43" fontId="0" fillId="0" borderId="19" xfId="3" applyFont="1" applyBorder="1"/>
    <xf numFmtId="43" fontId="0" fillId="0" borderId="20" xfId="3" applyFont="1" applyBorder="1"/>
    <xf numFmtId="0" fontId="18" fillId="0" borderId="0" xfId="0" applyFont="1"/>
    <xf numFmtId="10" fontId="0" fillId="2" borderId="24" xfId="1" applyNumberFormat="1" applyFont="1" applyFill="1" applyBorder="1"/>
    <xf numFmtId="10" fontId="0" fillId="2" borderId="23" xfId="1" applyNumberFormat="1" applyFont="1" applyFill="1" applyBorder="1"/>
    <xf numFmtId="9" fontId="0" fillId="3" borderId="0" xfId="0" applyNumberFormat="1" applyFill="1"/>
    <xf numFmtId="41" fontId="14" fillId="3" borderId="0" xfId="3" applyNumberFormat="1" applyFont="1" applyFill="1" applyBorder="1"/>
    <xf numFmtId="10" fontId="0" fillId="3" borderId="0" xfId="0" applyNumberFormat="1" applyFill="1"/>
    <xf numFmtId="0" fontId="0" fillId="3" borderId="0" xfId="0" quotePrefix="1" applyFill="1"/>
    <xf numFmtId="0" fontId="20" fillId="3" borderId="2" xfId="0" applyFont="1" applyFill="1" applyBorder="1"/>
    <xf numFmtId="0" fontId="9" fillId="0" borderId="0" xfId="0" applyFont="1"/>
    <xf numFmtId="0" fontId="0" fillId="0" borderId="26" xfId="0" applyBorder="1"/>
    <xf numFmtId="0" fontId="2" fillId="0" borderId="0" xfId="0" applyFont="1" applyAlignment="1">
      <alignment horizontal="right"/>
    </xf>
    <xf numFmtId="43" fontId="0" fillId="0" borderId="0" xfId="3" applyFont="1" applyBorder="1"/>
    <xf numFmtId="44" fontId="0" fillId="0" borderId="0" xfId="4" applyFont="1"/>
    <xf numFmtId="43" fontId="0" fillId="0" borderId="33" xfId="3" applyFont="1" applyBorder="1"/>
    <xf numFmtId="43" fontId="0" fillId="0" borderId="3" xfId="3" applyFont="1" applyBorder="1"/>
    <xf numFmtId="43" fontId="0" fillId="0" borderId="34" xfId="3" applyFont="1" applyBorder="1"/>
    <xf numFmtId="0" fontId="20" fillId="0" borderId="0" xfId="0" applyFont="1"/>
    <xf numFmtId="0" fontId="20" fillId="7" borderId="1" xfId="0" applyFont="1" applyFill="1" applyBorder="1" applyAlignment="1">
      <alignment horizontal="right"/>
    </xf>
    <xf numFmtId="0" fontId="9" fillId="10" borderId="1" xfId="0" applyFont="1" applyFill="1" applyBorder="1" applyAlignment="1">
      <alignment horizontal="right"/>
    </xf>
    <xf numFmtId="44" fontId="2" fillId="0" borderId="1" xfId="4" applyFont="1" applyBorder="1"/>
    <xf numFmtId="44" fontId="0" fillId="0" borderId="33" xfId="4" applyFont="1" applyBorder="1"/>
    <xf numFmtId="44" fontId="0" fillId="0" borderId="3" xfId="4" applyFont="1" applyBorder="1"/>
    <xf numFmtId="44" fontId="0" fillId="0" borderId="34" xfId="4" applyFont="1" applyBorder="1"/>
    <xf numFmtId="44" fontId="20" fillId="7" borderId="1" xfId="4" applyFont="1" applyFill="1" applyBorder="1" applyAlignment="1">
      <alignment horizontal="right"/>
    </xf>
    <xf numFmtId="44" fontId="20" fillId="0" borderId="0" xfId="4" applyFont="1"/>
    <xf numFmtId="0" fontId="22" fillId="0" borderId="0" xfId="0" applyFont="1"/>
    <xf numFmtId="41" fontId="4" fillId="7" borderId="3" xfId="3" applyNumberFormat="1" applyFont="1" applyFill="1" applyBorder="1"/>
    <xf numFmtId="0" fontId="4" fillId="3" borderId="0" xfId="0" applyFont="1" applyFill="1" applyBorder="1" applyAlignment="1">
      <alignment horizontal="left"/>
    </xf>
    <xf numFmtId="0" fontId="4" fillId="3" borderId="3" xfId="0" applyFont="1" applyFill="1" applyBorder="1" applyAlignment="1">
      <alignment horizontal="left"/>
    </xf>
    <xf numFmtId="10" fontId="0" fillId="2" borderId="30" xfId="1" applyNumberFormat="1" applyFont="1" applyFill="1" applyBorder="1"/>
    <xf numFmtId="0" fontId="0" fillId="7" borderId="0" xfId="0" applyFill="1"/>
    <xf numFmtId="0" fontId="21" fillId="3" borderId="0" xfId="0" applyFont="1" applyFill="1"/>
    <xf numFmtId="0" fontId="0" fillId="0" borderId="0" xfId="0"/>
    <xf numFmtId="0" fontId="2" fillId="0" borderId="0" xfId="0" applyFont="1"/>
    <xf numFmtId="0" fontId="0" fillId="0" borderId="0" xfId="0" applyAlignment="1">
      <alignment horizontal="center"/>
    </xf>
    <xf numFmtId="44" fontId="0" fillId="0" borderId="0" xfId="4" applyFont="1" applyFill="1" applyBorder="1"/>
    <xf numFmtId="0" fontId="0" fillId="0" borderId="0" xfId="0" applyFill="1" applyAlignment="1">
      <alignment horizontal="left" indent="1"/>
    </xf>
    <xf numFmtId="0" fontId="0" fillId="0" borderId="0" xfId="0" applyAlignment="1"/>
    <xf numFmtId="0" fontId="19" fillId="0" borderId="0" xfId="0" applyFont="1"/>
    <xf numFmtId="0" fontId="19" fillId="0" borderId="0" xfId="0" applyFont="1" applyAlignment="1"/>
    <xf numFmtId="0" fontId="19" fillId="0" borderId="3" xfId="0" applyFont="1" applyBorder="1" applyAlignment="1">
      <alignment horizontal="left"/>
    </xf>
    <xf numFmtId="0" fontId="2" fillId="3" borderId="35" xfId="0" applyFont="1" applyFill="1" applyBorder="1"/>
    <xf numFmtId="0" fontId="2" fillId="3" borderId="36" xfId="0" applyFont="1" applyFill="1" applyBorder="1"/>
    <xf numFmtId="0" fontId="2" fillId="3" borderId="37" xfId="0" applyFont="1" applyFill="1" applyBorder="1"/>
    <xf numFmtId="0" fontId="2" fillId="3" borderId="19" xfId="0" applyFont="1" applyFill="1" applyBorder="1"/>
    <xf numFmtId="0" fontId="2" fillId="3" borderId="0" xfId="0" applyFont="1" applyFill="1" applyBorder="1"/>
    <xf numFmtId="0" fontId="2" fillId="3" borderId="20" xfId="0" applyFont="1" applyFill="1" applyBorder="1"/>
    <xf numFmtId="0" fontId="2" fillId="3" borderId="27" xfId="0" applyFont="1" applyFill="1" applyBorder="1"/>
    <xf numFmtId="0" fontId="2" fillId="3" borderId="43" xfId="0" applyFont="1" applyFill="1" applyBorder="1"/>
    <xf numFmtId="0" fontId="2" fillId="3" borderId="28" xfId="0" applyFont="1" applyFill="1" applyBorder="1"/>
    <xf numFmtId="166" fontId="1" fillId="3" borderId="26" xfId="3" applyNumberFormat="1" applyFont="1" applyFill="1" applyBorder="1"/>
    <xf numFmtId="166" fontId="1" fillId="3" borderId="2" xfId="3" applyNumberFormat="1" applyFont="1" applyFill="1" applyBorder="1" applyAlignment="1"/>
    <xf numFmtId="166" fontId="1" fillId="3" borderId="2" xfId="3" applyNumberFormat="1" applyFont="1" applyFill="1" applyBorder="1"/>
    <xf numFmtId="0" fontId="0" fillId="3" borderId="1" xfId="0" applyFill="1" applyBorder="1"/>
    <xf numFmtId="0" fontId="0" fillId="11" borderId="1" xfId="0" applyFill="1" applyBorder="1"/>
    <xf numFmtId="10" fontId="0" fillId="3" borderId="1" xfId="1" applyNumberFormat="1" applyFont="1" applyFill="1" applyBorder="1"/>
    <xf numFmtId="10" fontId="0" fillId="11" borderId="1" xfId="1" applyNumberFormat="1" applyFont="1" applyFill="1" applyBorder="1"/>
    <xf numFmtId="0" fontId="4" fillId="3" borderId="0" xfId="0" applyFont="1" applyFill="1"/>
    <xf numFmtId="0" fontId="0" fillId="0" borderId="0" xfId="0" applyFont="1" applyFill="1" applyBorder="1" applyAlignment="1">
      <alignment horizontal="center" wrapText="1"/>
    </xf>
    <xf numFmtId="10" fontId="0" fillId="5" borderId="1" xfId="1" applyNumberFormat="1" applyFont="1" applyFill="1" applyBorder="1" applyAlignment="1">
      <alignment horizontal="center"/>
    </xf>
    <xf numFmtId="0" fontId="0" fillId="0" borderId="0" xfId="0" applyAlignment="1">
      <alignment horizontal="right"/>
    </xf>
    <xf numFmtId="0" fontId="0" fillId="0" borderId="0" xfId="0" applyAlignment="1">
      <alignment horizontal="right"/>
    </xf>
    <xf numFmtId="0" fontId="0" fillId="0" borderId="0" xfId="0" applyFill="1" applyBorder="1" applyAlignment="1">
      <alignment horizontal="center"/>
    </xf>
    <xf numFmtId="165" fontId="2" fillId="0" borderId="43" xfId="0" applyNumberFormat="1" applyFont="1" applyFill="1" applyBorder="1" applyAlignment="1">
      <alignment wrapText="1"/>
    </xf>
    <xf numFmtId="0" fontId="24" fillId="0" borderId="0" xfId="0" applyFont="1" applyAlignment="1" applyProtection="1"/>
    <xf numFmtId="0" fontId="14" fillId="0" borderId="0" xfId="0" applyFont="1" applyAlignment="1">
      <alignment horizontal="left"/>
    </xf>
    <xf numFmtId="0" fontId="0" fillId="0" borderId="0" xfId="0" applyBorder="1" applyAlignment="1"/>
    <xf numFmtId="0" fontId="0" fillId="0" borderId="0" xfId="0" applyBorder="1"/>
    <xf numFmtId="0" fontId="2" fillId="0" borderId="0" xfId="0" applyFont="1" applyFill="1" applyBorder="1" applyAlignment="1"/>
    <xf numFmtId="0" fontId="2" fillId="0" borderId="0" xfId="0" applyFont="1" applyAlignment="1"/>
    <xf numFmtId="44" fontId="0" fillId="2" borderId="1" xfId="4" applyFont="1" applyFill="1" applyBorder="1"/>
    <xf numFmtId="0" fontId="25" fillId="0" borderId="0" xfId="0" applyFont="1" applyAlignment="1">
      <alignment horizontal="left"/>
    </xf>
    <xf numFmtId="0" fontId="27" fillId="0" borderId="0" xfId="0" applyFont="1"/>
    <xf numFmtId="0" fontId="2" fillId="0" borderId="19" xfId="0" applyFont="1" applyFill="1" applyBorder="1" applyAlignment="1">
      <alignment horizontal="center" wrapText="1"/>
    </xf>
    <xf numFmtId="0" fontId="2" fillId="0" borderId="0" xfId="0" applyFont="1" applyFill="1" applyBorder="1" applyAlignment="1">
      <alignment horizontal="center" wrapText="1"/>
    </xf>
    <xf numFmtId="2" fontId="0" fillId="0" borderId="39" xfId="0" applyNumberFormat="1" applyFill="1" applyBorder="1"/>
    <xf numFmtId="0" fontId="0" fillId="0" borderId="20" xfId="0" applyFill="1" applyBorder="1"/>
    <xf numFmtId="0" fontId="14" fillId="0" borderId="0" xfId="0" applyFont="1" applyFill="1"/>
    <xf numFmtId="0" fontId="0" fillId="2" borderId="32" xfId="0" applyFill="1" applyBorder="1" applyAlignment="1">
      <alignment horizontal="center"/>
    </xf>
    <xf numFmtId="0" fontId="0" fillId="2" borderId="31" xfId="0" applyFill="1" applyBorder="1" applyAlignment="1">
      <alignment horizontal="center"/>
    </xf>
    <xf numFmtId="0" fontId="28" fillId="0" borderId="0" xfId="0" applyFont="1" applyAlignment="1">
      <alignment horizontal="left"/>
    </xf>
    <xf numFmtId="0" fontId="2" fillId="0" borderId="29" xfId="0" applyFont="1" applyFill="1" applyBorder="1" applyAlignment="1">
      <alignment horizontal="center"/>
    </xf>
    <xf numFmtId="0" fontId="2" fillId="0" borderId="29" xfId="0" applyFont="1" applyFill="1" applyBorder="1" applyAlignment="1">
      <alignment horizontal="center" wrapText="1"/>
    </xf>
    <xf numFmtId="0" fontId="2" fillId="0" borderId="25" xfId="0" applyFont="1" applyFill="1" applyBorder="1" applyAlignment="1">
      <alignment horizontal="center" wrapText="1"/>
    </xf>
    <xf numFmtId="0" fontId="2" fillId="0" borderId="25" xfId="0" applyFont="1" applyBorder="1" applyAlignment="1">
      <alignment horizontal="center"/>
    </xf>
    <xf numFmtId="44" fontId="0" fillId="0" borderId="1" xfId="4" applyFont="1" applyFill="1" applyBorder="1"/>
    <xf numFmtId="44" fontId="0" fillId="0" borderId="1" xfId="4" applyFont="1" applyBorder="1"/>
    <xf numFmtId="0" fontId="2" fillId="0" borderId="37" xfId="0" applyFont="1" applyFill="1" applyBorder="1" applyAlignment="1">
      <alignment horizontal="center" wrapText="1"/>
    </xf>
    <xf numFmtId="9" fontId="0" fillId="0" borderId="0" xfId="1" applyFont="1"/>
    <xf numFmtId="0" fontId="16" fillId="0" borderId="42" xfId="0" applyFont="1" applyFill="1" applyBorder="1" applyAlignment="1">
      <alignment horizontal="right"/>
    </xf>
    <xf numFmtId="0" fontId="16" fillId="0" borderId="0" xfId="0" applyFont="1"/>
    <xf numFmtId="0" fontId="0" fillId="0" borderId="0" xfId="0"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2" borderId="1"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16" fillId="0" borderId="20" xfId="0" applyFont="1" applyBorder="1" applyAlignment="1">
      <alignment horizontal="right"/>
    </xf>
    <xf numFmtId="0" fontId="9" fillId="0" borderId="35" xfId="0" applyFont="1" applyBorder="1" applyAlignment="1" applyProtection="1"/>
    <xf numFmtId="0" fontId="8" fillId="2" borderId="36" xfId="0" applyFont="1" applyFill="1" applyBorder="1" applyAlignment="1" applyProtection="1"/>
    <xf numFmtId="0" fontId="8" fillId="0" borderId="36" xfId="0" applyFont="1" applyFill="1" applyBorder="1" applyAlignment="1" applyProtection="1"/>
    <xf numFmtId="0" fontId="0" fillId="0" borderId="36" xfId="0" applyBorder="1"/>
    <xf numFmtId="0" fontId="0" fillId="0" borderId="37" xfId="0" applyBorder="1"/>
    <xf numFmtId="0" fontId="0" fillId="0" borderId="19" xfId="0" applyBorder="1"/>
    <xf numFmtId="0" fontId="8" fillId="4" borderId="0" xfId="0" applyFont="1" applyFill="1" applyBorder="1" applyAlignment="1" applyProtection="1"/>
    <xf numFmtId="0" fontId="8" fillId="0" borderId="0" xfId="0" applyFont="1" applyBorder="1" applyAlignment="1" applyProtection="1"/>
    <xf numFmtId="0" fontId="0" fillId="0" borderId="20" xfId="0" applyBorder="1"/>
    <xf numFmtId="0" fontId="0" fillId="0" borderId="27" xfId="0" applyBorder="1"/>
    <xf numFmtId="0" fontId="0" fillId="5" borderId="43" xfId="0" applyFill="1" applyBorder="1"/>
    <xf numFmtId="0" fontId="8" fillId="0" borderId="43" xfId="0" applyFont="1" applyFill="1" applyBorder="1" applyAlignment="1" applyProtection="1"/>
    <xf numFmtId="0" fontId="0" fillId="0" borderId="43" xfId="0" applyBorder="1"/>
    <xf numFmtId="0" fontId="0" fillId="0" borderId="28" xfId="0" applyBorder="1"/>
    <xf numFmtId="0" fontId="0" fillId="0" borderId="39" xfId="0" applyFill="1" applyBorder="1" applyAlignment="1"/>
    <xf numFmtId="0" fontId="16" fillId="2" borderId="24" xfId="0" applyFont="1" applyFill="1" applyBorder="1" applyAlignment="1">
      <alignment horizontal="center"/>
    </xf>
    <xf numFmtId="0" fontId="16" fillId="2" borderId="23" xfId="0" applyFont="1" applyFill="1" applyBorder="1" applyAlignment="1">
      <alignment horizontal="center"/>
    </xf>
    <xf numFmtId="0" fontId="0" fillId="0" borderId="0" xfId="0" applyFont="1" applyAlignment="1">
      <alignment horizontal="left"/>
    </xf>
    <xf numFmtId="44" fontId="0" fillId="0" borderId="5" xfId="4" applyFont="1" applyBorder="1"/>
    <xf numFmtId="44" fontId="20" fillId="0" borderId="6" xfId="4" applyFont="1" applyBorder="1" applyAlignment="1">
      <alignment horizontal="right"/>
    </xf>
    <xf numFmtId="0" fontId="0" fillId="0" borderId="5" xfId="0" applyBorder="1"/>
    <xf numFmtId="0" fontId="4" fillId="3" borderId="0" xfId="0" applyFont="1" applyFill="1" applyAlignment="1">
      <alignment horizontal="center"/>
    </xf>
    <xf numFmtId="0" fontId="4" fillId="3" borderId="2" xfId="0" applyFont="1" applyFill="1" applyBorder="1" applyAlignment="1">
      <alignment horizontal="center"/>
    </xf>
    <xf numFmtId="0" fontId="4" fillId="3" borderId="18" xfId="0" applyFont="1" applyFill="1" applyBorder="1" applyAlignment="1">
      <alignment horizontal="center"/>
    </xf>
    <xf numFmtId="0" fontId="6" fillId="3" borderId="0" xfId="0" applyFont="1" applyFill="1" applyAlignment="1">
      <alignment horizontal="center"/>
    </xf>
    <xf numFmtId="44" fontId="20" fillId="7" borderId="13" xfId="4" applyFont="1" applyFill="1" applyBorder="1" applyAlignment="1">
      <alignment horizontal="right"/>
    </xf>
    <xf numFmtId="0" fontId="0" fillId="0" borderId="6" xfId="0" applyFont="1" applyBorder="1" applyAlignment="1">
      <alignment horizontal="right"/>
    </xf>
    <xf numFmtId="0" fontId="2" fillId="0" borderId="17" xfId="0" applyFont="1" applyFill="1" applyBorder="1" applyAlignment="1">
      <alignment horizontal="center" wrapText="1"/>
    </xf>
    <xf numFmtId="0" fontId="2" fillId="0" borderId="0" xfId="0" applyFont="1" applyAlignment="1">
      <alignment horizontal="right" wrapText="1"/>
    </xf>
    <xf numFmtId="0" fontId="2" fillId="0" borderId="0" xfId="0" applyFont="1" applyAlignment="1">
      <alignment wrapText="1"/>
    </xf>
    <xf numFmtId="9" fontId="0" fillId="0" borderId="0" xfId="0" applyNumberFormat="1" applyAlignment="1">
      <alignment horizontal="center"/>
    </xf>
    <xf numFmtId="164" fontId="0" fillId="0" borderId="22" xfId="0" applyNumberFormat="1" applyFill="1" applyBorder="1"/>
    <xf numFmtId="0" fontId="2" fillId="0" borderId="48" xfId="0" applyFont="1" applyBorder="1" applyAlignment="1"/>
    <xf numFmtId="0" fontId="2" fillId="0" borderId="49" xfId="0" applyFont="1" applyFill="1" applyBorder="1"/>
    <xf numFmtId="0" fontId="0" fillId="0" borderId="9" xfId="0" applyFill="1" applyBorder="1"/>
    <xf numFmtId="0" fontId="0" fillId="0" borderId="7" xfId="0" applyFill="1" applyBorder="1"/>
    <xf numFmtId="2" fontId="2" fillId="0" borderId="51" xfId="0" applyNumberFormat="1" applyFont="1" applyFill="1" applyBorder="1"/>
    <xf numFmtId="1" fontId="2" fillId="0" borderId="52" xfId="0" applyNumberFormat="1" applyFont="1" applyFill="1" applyBorder="1"/>
    <xf numFmtId="0" fontId="2" fillId="0" borderId="53" xfId="0" applyFont="1" applyBorder="1" applyAlignment="1">
      <alignment horizontal="center" wrapText="1"/>
    </xf>
    <xf numFmtId="0" fontId="2" fillId="0" borderId="42" xfId="0" applyFont="1" applyFill="1" applyBorder="1" applyAlignment="1">
      <alignment horizontal="center" wrapText="1"/>
    </xf>
    <xf numFmtId="0" fontId="2" fillId="0" borderId="15" xfId="0" applyFont="1" applyBorder="1"/>
    <xf numFmtId="0" fontId="0" fillId="0" borderId="35"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10" fontId="0" fillId="0" borderId="0" xfId="1" applyNumberFormat="1" applyFont="1"/>
    <xf numFmtId="166" fontId="0" fillId="0" borderId="47" xfId="3" applyNumberFormat="1" applyFont="1" applyBorder="1"/>
    <xf numFmtId="166" fontId="0" fillId="0" borderId="25" xfId="3" applyNumberFormat="1" applyFont="1" applyBorder="1"/>
    <xf numFmtId="166" fontId="2" fillId="0" borderId="50" xfId="3" applyNumberFormat="1" applyFont="1" applyFill="1" applyBorder="1"/>
    <xf numFmtId="1" fontId="0" fillId="0" borderId="0" xfId="0" applyNumberFormat="1" applyAlignment="1">
      <alignment horizontal="center"/>
    </xf>
    <xf numFmtId="0" fontId="0" fillId="0" borderId="0" xfId="0" applyFill="1" applyAlignment="1">
      <alignment wrapText="1"/>
    </xf>
    <xf numFmtId="166" fontId="0" fillId="2" borderId="1" xfId="3" applyNumberFormat="1" applyFont="1" applyFill="1" applyBorder="1"/>
    <xf numFmtId="166" fontId="0" fillId="2" borderId="13" xfId="3" applyNumberFormat="1" applyFont="1" applyFill="1" applyBorder="1"/>
    <xf numFmtId="166" fontId="19" fillId="0" borderId="0" xfId="3" applyNumberFormat="1" applyFont="1"/>
    <xf numFmtId="0" fontId="0" fillId="7" borderId="6" xfId="0" applyFill="1" applyBorder="1"/>
    <xf numFmtId="166" fontId="2" fillId="3" borderId="2" xfId="3" applyNumberFormat="1" applyFont="1" applyFill="1" applyBorder="1"/>
    <xf numFmtId="0" fontId="2" fillId="3" borderId="54" xfId="0" applyFont="1" applyFill="1" applyBorder="1"/>
    <xf numFmtId="0" fontId="0" fillId="3" borderId="54" xfId="0" applyFill="1" applyBorder="1"/>
    <xf numFmtId="0" fontId="4" fillId="3" borderId="54" xfId="0" applyFont="1" applyFill="1" applyBorder="1" applyAlignment="1">
      <alignment horizontal="center"/>
    </xf>
    <xf numFmtId="41" fontId="0" fillId="3" borderId="54" xfId="3" applyNumberFormat="1" applyFont="1" applyFill="1" applyBorder="1"/>
    <xf numFmtId="0" fontId="2" fillId="0" borderId="19" xfId="0" applyFont="1" applyBorder="1" applyAlignment="1">
      <alignment horizontal="right" wrapText="1"/>
    </xf>
    <xf numFmtId="0" fontId="2" fillId="0" borderId="0" xfId="0" applyFont="1" applyBorder="1" applyAlignment="1">
      <alignment horizontal="right" wrapText="1"/>
    </xf>
    <xf numFmtId="0" fontId="2" fillId="0" borderId="20" xfId="0" applyFont="1" applyBorder="1" applyAlignment="1">
      <alignment horizontal="right" wrapText="1"/>
    </xf>
    <xf numFmtId="2" fontId="0" fillId="0" borderId="0" xfId="0" applyNumberFormat="1" applyBorder="1"/>
    <xf numFmtId="2" fontId="0" fillId="0" borderId="20" xfId="0" applyNumberFormat="1" applyBorder="1"/>
    <xf numFmtId="2" fontId="4" fillId="7" borderId="19" xfId="0" applyNumberFormat="1" applyFont="1" applyFill="1" applyBorder="1"/>
    <xf numFmtId="2" fontId="4" fillId="7" borderId="0" xfId="0" applyNumberFormat="1" applyFont="1" applyFill="1" applyBorder="1"/>
    <xf numFmtId="2" fontId="4" fillId="7" borderId="20" xfId="0" applyNumberFormat="1" applyFont="1" applyFill="1" applyBorder="1"/>
    <xf numFmtId="2" fontId="4" fillId="7" borderId="27" xfId="0" applyNumberFormat="1" applyFont="1" applyFill="1" applyBorder="1"/>
    <xf numFmtId="2" fontId="4" fillId="7" borderId="43" xfId="0" applyNumberFormat="1" applyFont="1" applyFill="1" applyBorder="1"/>
    <xf numFmtId="2" fontId="4" fillId="7" borderId="28" xfId="0" applyNumberFormat="1" applyFont="1" applyFill="1" applyBorder="1"/>
    <xf numFmtId="166" fontId="0" fillId="0" borderId="19" xfId="3" applyNumberFormat="1" applyFont="1" applyBorder="1"/>
    <xf numFmtId="166" fontId="0" fillId="0" borderId="0" xfId="3" applyNumberFormat="1" applyFont="1" applyBorder="1"/>
    <xf numFmtId="166" fontId="0" fillId="0" borderId="20" xfId="3" applyNumberFormat="1" applyFont="1" applyBorder="1"/>
    <xf numFmtId="166" fontId="0" fillId="0" borderId="0" xfId="0" applyNumberFormat="1" applyBorder="1"/>
    <xf numFmtId="166" fontId="4" fillId="7" borderId="0" xfId="3" applyNumberFormat="1" applyFont="1" applyFill="1" applyBorder="1"/>
    <xf numFmtId="166" fontId="4" fillId="7" borderId="20" xfId="3" applyNumberFormat="1" applyFont="1" applyFill="1" applyBorder="1"/>
    <xf numFmtId="166" fontId="4" fillId="7" borderId="19" xfId="3" applyNumberFormat="1" applyFont="1" applyFill="1" applyBorder="1"/>
    <xf numFmtId="166" fontId="0" fillId="7" borderId="0" xfId="3" applyNumberFormat="1" applyFont="1" applyFill="1" applyBorder="1"/>
    <xf numFmtId="166" fontId="4" fillId="7" borderId="27" xfId="3" applyNumberFormat="1" applyFont="1" applyFill="1" applyBorder="1"/>
    <xf numFmtId="166" fontId="4" fillId="7" borderId="43" xfId="3" applyNumberFormat="1" applyFont="1" applyFill="1" applyBorder="1"/>
    <xf numFmtId="166" fontId="0" fillId="7" borderId="43" xfId="3" applyNumberFormat="1" applyFont="1" applyFill="1" applyBorder="1"/>
    <xf numFmtId="166" fontId="0" fillId="0" borderId="43" xfId="0" applyNumberFormat="1" applyBorder="1"/>
    <xf numFmtId="166" fontId="4" fillId="7" borderId="28" xfId="3" applyNumberFormat="1" applyFont="1" applyFill="1" applyBorder="1"/>
    <xf numFmtId="0" fontId="31" fillId="0" borderId="0" xfId="2" applyFont="1" applyFill="1" applyAlignment="1" applyProtection="1">
      <alignment horizontal="left"/>
    </xf>
    <xf numFmtId="0" fontId="2" fillId="0" borderId="0" xfId="0" applyFont="1" applyFill="1" applyBorder="1"/>
    <xf numFmtId="0" fontId="0" fillId="0" borderId="0" xfId="0" applyFill="1" applyBorder="1"/>
    <xf numFmtId="0" fontId="0" fillId="0" borderId="0" xfId="0" quotePrefix="1" applyFill="1" applyBorder="1" applyAlignment="1">
      <alignment vertical="top" wrapText="1"/>
    </xf>
    <xf numFmtId="0" fontId="0" fillId="0" borderId="0" xfId="0" applyFill="1" applyBorder="1" applyAlignment="1">
      <alignment vertical="top" wrapText="1"/>
    </xf>
    <xf numFmtId="0" fontId="0" fillId="0" borderId="0" xfId="0" applyAlignment="1">
      <alignment horizontal="left"/>
    </xf>
    <xf numFmtId="0" fontId="0" fillId="0" borderId="0" xfId="0" applyFill="1" applyBorder="1" applyAlignment="1">
      <alignment wrapText="1"/>
    </xf>
    <xf numFmtId="44" fontId="0" fillId="0" borderId="2" xfId="4" applyFont="1" applyBorder="1" applyAlignment="1">
      <alignment horizontal="right"/>
    </xf>
    <xf numFmtId="0" fontId="20" fillId="7" borderId="40" xfId="0" applyFont="1" applyFill="1" applyBorder="1" applyAlignment="1">
      <alignment horizontal="right"/>
    </xf>
    <xf numFmtId="41" fontId="4" fillId="3" borderId="0" xfId="3" applyNumberFormat="1" applyFont="1" applyFill="1" applyBorder="1"/>
    <xf numFmtId="0" fontId="20" fillId="3" borderId="2" xfId="0" applyFont="1" applyFill="1" applyBorder="1" applyAlignment="1">
      <alignment horizontal="center"/>
    </xf>
    <xf numFmtId="0" fontId="0" fillId="0" borderId="38" xfId="0" applyFill="1" applyBorder="1" applyAlignment="1">
      <alignment wrapText="1"/>
    </xf>
    <xf numFmtId="0" fontId="0" fillId="2" borderId="45" xfId="0" applyFill="1" applyBorder="1" applyAlignment="1"/>
    <xf numFmtId="0" fontId="0" fillId="2" borderId="46" xfId="0" applyFill="1" applyBorder="1" applyAlignment="1"/>
    <xf numFmtId="0" fontId="0" fillId="2" borderId="2" xfId="0" applyFill="1" applyBorder="1" applyAlignment="1"/>
    <xf numFmtId="0" fontId="0" fillId="2" borderId="6" xfId="0" applyFill="1" applyBorder="1" applyAlignment="1"/>
    <xf numFmtId="0" fontId="2" fillId="0" borderId="4" xfId="0" applyFont="1" applyBorder="1"/>
    <xf numFmtId="0" fontId="0" fillId="0" borderId="1" xfId="0" applyBorder="1" applyAlignment="1">
      <alignment horizontal="center"/>
    </xf>
    <xf numFmtId="0" fontId="0" fillId="0" borderId="13" xfId="0" applyBorder="1" applyAlignment="1">
      <alignment horizontal="center"/>
    </xf>
    <xf numFmtId="0" fontId="0" fillId="2" borderId="1" xfId="0" applyFill="1" applyBorder="1"/>
    <xf numFmtId="0" fontId="0" fillId="4" borderId="1" xfId="0" applyFill="1" applyBorder="1"/>
    <xf numFmtId="0" fontId="0" fillId="2" borderId="13" xfId="0" applyFill="1" applyBorder="1"/>
    <xf numFmtId="0" fontId="0" fillId="4" borderId="1" xfId="0" applyFill="1" applyBorder="1" applyAlignment="1">
      <alignment horizontal="center"/>
    </xf>
    <xf numFmtId="0" fontId="0" fillId="4" borderId="13" xfId="0" applyFill="1" applyBorder="1"/>
    <xf numFmtId="0" fontId="0" fillId="4" borderId="13" xfId="0" applyFill="1" applyBorder="1" applyAlignment="1">
      <alignment horizontal="center"/>
    </xf>
    <xf numFmtId="167" fontId="21" fillId="3" borderId="38" xfId="0" applyNumberFormat="1" applyFont="1" applyFill="1" applyBorder="1" applyAlignment="1"/>
    <xf numFmtId="0" fontId="0" fillId="3" borderId="26" xfId="0" applyFill="1" applyBorder="1" applyAlignment="1"/>
    <xf numFmtId="167" fontId="21" fillId="7" borderId="13" xfId="0" applyNumberFormat="1" applyFont="1" applyFill="1" applyBorder="1" applyAlignment="1">
      <alignment horizontal="center"/>
    </xf>
    <xf numFmtId="10" fontId="2" fillId="3" borderId="1" xfId="1" applyNumberFormat="1" applyFont="1" applyFill="1" applyBorder="1" applyProtection="1">
      <protection locked="0"/>
    </xf>
    <xf numFmtId="0" fontId="34" fillId="12" borderId="0" xfId="0" applyFont="1" applyFill="1" applyAlignment="1">
      <alignment horizontal="left" vertical="top"/>
    </xf>
    <xf numFmtId="0" fontId="0" fillId="12" borderId="0" xfId="0" applyFont="1" applyFill="1" applyAlignment="1">
      <alignment horizontal="left" vertical="center"/>
    </xf>
    <xf numFmtId="0" fontId="2" fillId="13" borderId="0" xfId="0" applyFont="1" applyFill="1" applyAlignment="1">
      <alignment horizontal="left" vertical="center"/>
    </xf>
    <xf numFmtId="0" fontId="0" fillId="13" borderId="0" xfId="0" applyFont="1" applyFill="1" applyAlignment="1">
      <alignment horizontal="left" vertical="center"/>
    </xf>
    <xf numFmtId="0" fontId="0" fillId="13" borderId="0" xfId="0" applyFont="1" applyFill="1" applyAlignment="1">
      <alignment horizontal="left" vertical="center" wrapText="1"/>
    </xf>
    <xf numFmtId="0" fontId="0" fillId="0" borderId="62" xfId="0" applyFont="1" applyFill="1" applyBorder="1" applyAlignment="1">
      <alignment horizontal="left" vertical="center" wrapText="1"/>
    </xf>
    <xf numFmtId="0" fontId="0" fillId="13" borderId="0" xfId="0" applyFill="1" applyAlignment="1">
      <alignment horizontal="left" vertical="center"/>
    </xf>
    <xf numFmtId="0" fontId="0" fillId="13" borderId="0" xfId="0" applyFill="1" applyAlignment="1">
      <alignment horizontal="left" vertical="center" wrapText="1"/>
    </xf>
    <xf numFmtId="0" fontId="0" fillId="12" borderId="0" xfId="0" applyFill="1" applyAlignment="1">
      <alignment horizontal="left" vertical="center"/>
    </xf>
    <xf numFmtId="0" fontId="0" fillId="13" borderId="0" xfId="0" applyFill="1" applyAlignment="1">
      <alignment horizontal="left" vertical="top"/>
    </xf>
    <xf numFmtId="0" fontId="0" fillId="13" borderId="0" xfId="0" applyFont="1" applyFill="1" applyAlignment="1">
      <alignment horizontal="left" vertical="top"/>
    </xf>
    <xf numFmtId="0" fontId="0" fillId="13" borderId="0" xfId="0" applyFill="1" applyAlignment="1">
      <alignment horizontal="left" vertical="top" wrapText="1"/>
    </xf>
    <xf numFmtId="44" fontId="0" fillId="0" borderId="62" xfId="0" applyNumberFormat="1" applyFill="1" applyBorder="1" applyAlignment="1">
      <alignment vertical="top" wrapText="1"/>
    </xf>
    <xf numFmtId="44" fontId="0" fillId="13" borderId="0" xfId="0" applyNumberFormat="1" applyFill="1" applyBorder="1" applyAlignment="1">
      <alignment vertical="top" wrapText="1"/>
    </xf>
    <xf numFmtId="0" fontId="0" fillId="12" borderId="0" xfId="0" applyFill="1" applyAlignment="1">
      <alignment horizontal="left" vertical="top"/>
    </xf>
    <xf numFmtId="0" fontId="35" fillId="13" borderId="0" xfId="5" applyFill="1" applyAlignment="1">
      <alignment horizontal="left" vertical="top"/>
    </xf>
    <xf numFmtId="0" fontId="0" fillId="12" borderId="0" xfId="0" applyFill="1" applyBorder="1" applyAlignment="1">
      <alignment horizontal="left" vertical="top"/>
    </xf>
    <xf numFmtId="0" fontId="0" fillId="13" borderId="0" xfId="0" quotePrefix="1" applyFill="1" applyAlignment="1">
      <alignment horizontal="left" vertical="center"/>
    </xf>
    <xf numFmtId="1" fontId="0" fillId="0" borderId="62" xfId="0" applyNumberFormat="1" applyFill="1" applyBorder="1" applyAlignment="1">
      <alignment horizontal="left" vertical="center"/>
    </xf>
    <xf numFmtId="0" fontId="0" fillId="0" borderId="62" xfId="0" applyFill="1" applyBorder="1" applyAlignment="1">
      <alignment horizontal="left" vertical="center" wrapText="1"/>
    </xf>
    <xf numFmtId="0" fontId="0" fillId="13" borderId="0" xfId="0" applyFill="1" applyBorder="1" applyAlignment="1">
      <alignment horizontal="left" vertical="center"/>
    </xf>
    <xf numFmtId="0" fontId="0" fillId="13" borderId="0" xfId="0" applyFill="1" applyAlignment="1">
      <alignment horizontal="left"/>
    </xf>
    <xf numFmtId="0" fontId="0" fillId="13" borderId="0" xfId="0" quotePrefix="1" applyFill="1" applyAlignment="1">
      <alignment horizontal="left"/>
    </xf>
    <xf numFmtId="0" fontId="0" fillId="12" borderId="0" xfId="0" applyFill="1" applyAlignment="1">
      <alignment horizontal="left"/>
    </xf>
    <xf numFmtId="0" fontId="0" fillId="13" borderId="0" xfId="0" quotePrefix="1" applyFill="1" applyAlignment="1">
      <alignment horizontal="left" vertical="top"/>
    </xf>
    <xf numFmtId="0" fontId="0" fillId="13" borderId="0" xfId="0" applyFont="1" applyFill="1" applyAlignment="1">
      <alignment vertical="top" wrapText="1"/>
    </xf>
    <xf numFmtId="0" fontId="0" fillId="12" borderId="0" xfId="0" applyFill="1" applyBorder="1" applyAlignment="1">
      <alignment horizontal="left" vertical="center"/>
    </xf>
    <xf numFmtId="0" fontId="0" fillId="3" borderId="62" xfId="0" applyFill="1" applyBorder="1" applyAlignment="1">
      <alignment horizontal="left" vertical="center"/>
    </xf>
    <xf numFmtId="169" fontId="0" fillId="0" borderId="62" xfId="0" applyNumberFormat="1" applyFill="1" applyBorder="1" applyAlignment="1">
      <alignment horizontal="left" vertical="center"/>
    </xf>
    <xf numFmtId="0" fontId="0" fillId="12" borderId="0" xfId="0" applyFill="1" applyAlignment="1">
      <alignment horizontal="left" vertical="top" wrapText="1"/>
    </xf>
    <xf numFmtId="0" fontId="0" fillId="14" borderId="0" xfId="0" applyFill="1" applyAlignment="1">
      <alignment horizontal="left" vertical="top"/>
    </xf>
    <xf numFmtId="0" fontId="0" fillId="14" borderId="0" xfId="0" applyFill="1" applyAlignment="1">
      <alignment horizontal="left" vertical="top" wrapText="1"/>
    </xf>
    <xf numFmtId="0" fontId="0" fillId="16" borderId="0" xfId="0" applyFill="1" applyAlignment="1">
      <alignment horizontal="left" vertical="top"/>
    </xf>
    <xf numFmtId="0" fontId="0" fillId="16" borderId="0" xfId="0" applyFill="1" applyAlignment="1">
      <alignment horizontal="left" vertical="center" wrapText="1"/>
    </xf>
    <xf numFmtId="0" fontId="0" fillId="16" borderId="0" xfId="0" applyFill="1" applyAlignment="1">
      <alignment horizontal="left" vertical="center"/>
    </xf>
    <xf numFmtId="0" fontId="0" fillId="16" borderId="0" xfId="0" applyFill="1" applyAlignment="1">
      <alignment horizontal="left" vertical="top" wrapText="1"/>
    </xf>
    <xf numFmtId="0" fontId="0" fillId="16" borderId="0" xfId="0" applyFill="1" applyBorder="1" applyAlignment="1">
      <alignment horizontal="left" vertical="center"/>
    </xf>
    <xf numFmtId="0" fontId="0" fillId="16" borderId="0" xfId="0" applyFill="1" applyAlignment="1">
      <alignment horizontal="left"/>
    </xf>
    <xf numFmtId="0" fontId="2" fillId="3" borderId="0" xfId="0" applyFont="1" applyFill="1" applyAlignment="1">
      <alignment vertical="center"/>
    </xf>
    <xf numFmtId="0" fontId="0" fillId="3" borderId="0" xfId="0" applyFill="1" applyAlignment="1">
      <alignment horizontal="left" vertical="center"/>
    </xf>
    <xf numFmtId="0" fontId="21" fillId="3" borderId="0" xfId="0" applyFont="1" applyFill="1" applyAlignment="1">
      <alignment vertical="top"/>
    </xf>
    <xf numFmtId="0" fontId="33" fillId="17" borderId="0" xfId="0" applyFont="1" applyFill="1" applyAlignment="1">
      <alignment horizontal="left" vertical="center"/>
    </xf>
    <xf numFmtId="0" fontId="33" fillId="17" borderId="0" xfId="0" applyFont="1" applyFill="1" applyAlignment="1">
      <alignment horizontal="left" vertical="top"/>
    </xf>
    <xf numFmtId="0" fontId="33" fillId="17" borderId="0" xfId="0" applyFont="1" applyFill="1" applyAlignment="1">
      <alignment horizontal="left" vertical="top" wrapText="1"/>
    </xf>
    <xf numFmtId="0" fontId="33" fillId="15" borderId="0" xfId="0" applyFont="1" applyFill="1" applyAlignment="1">
      <alignment horizontal="left" vertical="center"/>
    </xf>
    <xf numFmtId="0" fontId="37" fillId="15" borderId="0" xfId="0" applyFont="1" applyFill="1" applyAlignment="1">
      <alignment horizontal="left" vertical="center"/>
    </xf>
    <xf numFmtId="0" fontId="37" fillId="15" borderId="0" xfId="0" applyFont="1" applyFill="1" applyAlignment="1">
      <alignment horizontal="left" vertical="center" wrapText="1"/>
    </xf>
    <xf numFmtId="0" fontId="38" fillId="15" borderId="0" xfId="0" applyFont="1" applyFill="1" applyBorder="1" applyAlignment="1">
      <alignment horizontal="left" vertical="center"/>
    </xf>
    <xf numFmtId="170" fontId="0" fillId="3" borderId="0" xfId="0" applyNumberFormat="1" applyFont="1" applyFill="1" applyAlignment="1">
      <alignment vertical="top" wrapText="1"/>
    </xf>
    <xf numFmtId="0" fontId="0" fillId="18" borderId="0" xfId="0" applyFill="1" applyBorder="1" applyAlignment="1">
      <alignment horizontal="left" vertical="top"/>
    </xf>
    <xf numFmtId="0" fontId="0" fillId="3" borderId="0" xfId="0" applyFill="1" applyAlignment="1">
      <alignment vertical="top"/>
    </xf>
    <xf numFmtId="0" fontId="0" fillId="3" borderId="0" xfId="0" applyFill="1" applyBorder="1" applyAlignment="1">
      <alignment horizontal="left"/>
    </xf>
    <xf numFmtId="0" fontId="0" fillId="3" borderId="0" xfId="0" applyFill="1" applyBorder="1" applyAlignment="1">
      <alignment vertical="top"/>
    </xf>
    <xf numFmtId="0" fontId="39" fillId="3" borderId="0" xfId="0" applyFont="1" applyFill="1" applyBorder="1" applyAlignment="1">
      <alignment horizontal="left" wrapText="1"/>
    </xf>
    <xf numFmtId="0" fontId="2" fillId="3" borderId="64" xfId="0" applyFont="1" applyFill="1" applyBorder="1" applyAlignment="1">
      <alignment horizontal="left"/>
    </xf>
    <xf numFmtId="0" fontId="2" fillId="7" borderId="64" xfId="0" applyFont="1" applyFill="1" applyBorder="1" applyAlignment="1">
      <alignment horizontal="left"/>
    </xf>
    <xf numFmtId="0" fontId="0" fillId="3" borderId="64" xfId="0" applyFill="1" applyBorder="1" applyAlignment="1">
      <alignment horizontal="left"/>
    </xf>
    <xf numFmtId="1" fontId="0" fillId="7" borderId="64" xfId="0" applyNumberFormat="1" applyFill="1" applyBorder="1" applyAlignment="1">
      <alignment horizontal="left"/>
    </xf>
    <xf numFmtId="171" fontId="0" fillId="7" borderId="64" xfId="4" applyNumberFormat="1" applyFont="1" applyFill="1" applyBorder="1" applyAlignment="1">
      <alignment horizontal="left"/>
    </xf>
    <xf numFmtId="171" fontId="0" fillId="3" borderId="64" xfId="4" applyNumberFormat="1" applyFont="1" applyFill="1" applyBorder="1" applyAlignment="1">
      <alignment horizontal="left"/>
    </xf>
    <xf numFmtId="0" fontId="2" fillId="3" borderId="64" xfId="0" applyFont="1" applyFill="1" applyBorder="1" applyAlignment="1">
      <alignment horizontal="left" vertical="top" wrapText="1"/>
    </xf>
    <xf numFmtId="0" fontId="0" fillId="7" borderId="64" xfId="0" applyFill="1" applyBorder="1" applyAlignment="1">
      <alignment horizontal="left" vertical="top" wrapText="1"/>
    </xf>
    <xf numFmtId="1" fontId="0" fillId="3" borderId="64" xfId="0" applyNumberFormat="1" applyFill="1" applyBorder="1" applyAlignment="1">
      <alignment horizontal="left" vertical="top" wrapText="1"/>
    </xf>
    <xf numFmtId="0" fontId="0" fillId="3" borderId="64" xfId="0" applyFill="1" applyBorder="1" applyAlignment="1">
      <alignment horizontal="left" vertical="top" wrapText="1"/>
    </xf>
    <xf numFmtId="0" fontId="0" fillId="12" borderId="0" xfId="0" applyFill="1"/>
    <xf numFmtId="0" fontId="2" fillId="12" borderId="0" xfId="0" applyFont="1" applyFill="1"/>
    <xf numFmtId="0" fontId="0" fillId="12" borderId="0" xfId="0" applyFill="1" applyBorder="1"/>
    <xf numFmtId="0" fontId="0" fillId="3" borderId="0" xfId="0" applyFill="1" applyAlignment="1">
      <alignment vertical="center"/>
    </xf>
    <xf numFmtId="0" fontId="40" fillId="3" borderId="0" xfId="0" applyFont="1" applyFill="1" applyAlignment="1">
      <alignment vertical="center"/>
    </xf>
    <xf numFmtId="0" fontId="0" fillId="12" borderId="0" xfId="0" applyFill="1" applyAlignment="1">
      <alignment vertical="center"/>
    </xf>
    <xf numFmtId="0" fontId="0" fillId="13" borderId="0" xfId="0" applyFont="1" applyFill="1" applyBorder="1" applyAlignment="1">
      <alignment horizontal="left" wrapText="1"/>
    </xf>
    <xf numFmtId="0" fontId="0" fillId="3" borderId="0" xfId="0" applyFill="1" applyAlignment="1">
      <alignment horizontal="left" vertical="top" wrapText="1"/>
    </xf>
    <xf numFmtId="0" fontId="0" fillId="4" borderId="0" xfId="0" applyFill="1" applyAlignment="1">
      <alignment vertical="center"/>
    </xf>
    <xf numFmtId="0" fontId="0" fillId="3" borderId="0" xfId="0" applyFill="1" applyAlignment="1">
      <alignment horizontal="left" vertical="top"/>
    </xf>
    <xf numFmtId="0" fontId="0" fillId="13" borderId="0" xfId="0" applyFont="1" applyFill="1" applyAlignment="1">
      <alignment horizontal="left" vertical="center" wrapText="1"/>
    </xf>
    <xf numFmtId="0" fontId="0" fillId="13" borderId="0" xfId="0" applyFont="1" applyFill="1" applyBorder="1" applyAlignment="1">
      <alignment horizontal="left" wrapText="1"/>
    </xf>
    <xf numFmtId="0" fontId="39" fillId="3" borderId="0" xfId="0" applyFont="1" applyFill="1" applyBorder="1" applyAlignment="1">
      <alignment horizontal="left" vertical="top" wrapText="1"/>
    </xf>
    <xf numFmtId="0" fontId="41" fillId="4" borderId="0" xfId="0" applyFont="1" applyFill="1" applyAlignment="1">
      <alignment vertical="center" wrapText="1"/>
    </xf>
    <xf numFmtId="0" fontId="0" fillId="3" borderId="0" xfId="0" applyFill="1" applyAlignment="1">
      <alignment horizontal="left" vertical="top" wrapText="1"/>
    </xf>
    <xf numFmtId="0" fontId="0" fillId="3" borderId="0" xfId="0" applyFill="1" applyBorder="1" applyAlignment="1">
      <alignment horizontal="left" vertical="top" wrapText="1"/>
    </xf>
    <xf numFmtId="0" fontId="0" fillId="4" borderId="5" xfId="0" applyFill="1" applyBorder="1" applyAlignment="1">
      <alignment horizontal="left"/>
    </xf>
    <xf numFmtId="0" fontId="0" fillId="4" borderId="2" xfId="0" applyFill="1" applyBorder="1" applyAlignment="1">
      <alignment horizontal="left"/>
    </xf>
    <xf numFmtId="0" fontId="0" fillId="4" borderId="6" xfId="0" applyFill="1" applyBorder="1" applyAlignment="1">
      <alignment horizontal="left"/>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0" fontId="20" fillId="0" borderId="15" xfId="0" applyFont="1" applyFill="1" applyBorder="1" applyAlignment="1">
      <alignment horizontal="left"/>
    </xf>
    <xf numFmtId="0" fontId="20" fillId="0" borderId="16" xfId="0" applyFont="1" applyFill="1" applyBorder="1" applyAlignment="1">
      <alignment horizontal="left"/>
    </xf>
    <xf numFmtId="0" fontId="20" fillId="0" borderId="17" xfId="0" applyFont="1" applyFill="1" applyBorder="1" applyAlignment="1">
      <alignment horizontal="left"/>
    </xf>
    <xf numFmtId="0" fontId="4" fillId="2" borderId="40" xfId="0" applyFont="1" applyFill="1" applyBorder="1" applyAlignment="1">
      <alignment horizontal="center"/>
    </xf>
    <xf numFmtId="0" fontId="4" fillId="2" borderId="26" xfId="0" applyFont="1" applyFill="1" applyBorder="1" applyAlignment="1">
      <alignment horizontal="center"/>
    </xf>
    <xf numFmtId="0" fontId="4" fillId="2" borderId="41" xfId="0" applyFont="1" applyFill="1" applyBorder="1" applyAlignment="1">
      <alignment horizontal="center"/>
    </xf>
    <xf numFmtId="0" fontId="8" fillId="2" borderId="1" xfId="0" applyFont="1" applyFill="1" applyBorder="1" applyAlignment="1" applyProtection="1">
      <alignment horizontal="center"/>
    </xf>
    <xf numFmtId="167" fontId="8" fillId="2" borderId="1" xfId="0" applyNumberFormat="1" applyFont="1" applyFill="1" applyBorder="1" applyAlignment="1" applyProtection="1">
      <alignment horizontal="center"/>
    </xf>
    <xf numFmtId="0" fontId="0" fillId="0" borderId="0" xfId="0" applyBorder="1" applyAlignment="1">
      <alignment horizontal="right"/>
    </xf>
    <xf numFmtId="0" fontId="0" fillId="0" borderId="39" xfId="0" applyBorder="1" applyAlignment="1">
      <alignment horizontal="right"/>
    </xf>
    <xf numFmtId="0" fontId="0" fillId="2" borderId="40" xfId="0" applyFill="1" applyBorder="1" applyAlignment="1">
      <alignment horizontal="center"/>
    </xf>
    <xf numFmtId="0" fontId="0" fillId="2" borderId="41"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2" fillId="0" borderId="15" xfId="0" applyFont="1" applyFill="1" applyBorder="1" applyAlignment="1">
      <alignment horizontal="center" wrapText="1"/>
    </xf>
    <xf numFmtId="0" fontId="2" fillId="0" borderId="16" xfId="0" applyFont="1" applyFill="1" applyBorder="1" applyAlignment="1">
      <alignment horizontal="center" wrapText="1"/>
    </xf>
    <xf numFmtId="0" fontId="2" fillId="0" borderId="17" xfId="0" applyFont="1" applyFill="1" applyBorder="1" applyAlignment="1">
      <alignment horizontal="center" wrapText="1"/>
    </xf>
    <xf numFmtId="0" fontId="0" fillId="2" borderId="5" xfId="0" applyFill="1" applyBorder="1" applyAlignment="1">
      <alignment horizontal="left" wrapText="1"/>
    </xf>
    <xf numFmtId="0" fontId="0" fillId="2" borderId="2" xfId="0" applyFill="1" applyBorder="1" applyAlignment="1">
      <alignment horizontal="left" wrapText="1"/>
    </xf>
    <xf numFmtId="0" fontId="0" fillId="2" borderId="6" xfId="0" applyFill="1" applyBorder="1" applyAlignment="1">
      <alignment horizontal="left" wrapText="1"/>
    </xf>
    <xf numFmtId="0" fontId="0" fillId="3" borderId="5" xfId="0" applyFill="1" applyBorder="1" applyAlignment="1">
      <alignment horizontal="left"/>
    </xf>
    <xf numFmtId="0" fontId="0" fillId="3" borderId="2" xfId="0" applyFill="1" applyBorder="1" applyAlignment="1">
      <alignment horizontal="left"/>
    </xf>
    <xf numFmtId="0" fontId="0" fillId="3" borderId="6" xfId="0" applyFill="1" applyBorder="1" applyAlignment="1">
      <alignment horizontal="left"/>
    </xf>
    <xf numFmtId="0" fontId="0" fillId="0" borderId="0" xfId="0" applyFont="1" applyFill="1" applyBorder="1" applyAlignment="1">
      <alignment horizontal="center" wrapText="1"/>
    </xf>
    <xf numFmtId="0" fontId="0" fillId="0" borderId="19" xfId="0" applyBorder="1" applyAlignment="1">
      <alignment horizontal="center" wrapText="1"/>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16" fillId="0" borderId="29" xfId="0" applyFont="1" applyBorder="1" applyAlignment="1">
      <alignment horizontal="center" wrapText="1"/>
    </xf>
    <xf numFmtId="0" fontId="16" fillId="0" borderId="30" xfId="0" applyFont="1" applyBorder="1" applyAlignment="1">
      <alignment horizontal="center" wrapText="1"/>
    </xf>
    <xf numFmtId="165" fontId="2" fillId="0" borderId="29" xfId="0" applyNumberFormat="1" applyFont="1" applyFill="1" applyBorder="1" applyAlignment="1">
      <alignment horizontal="center" wrapText="1"/>
    </xf>
    <xf numFmtId="165" fontId="2" fillId="0" borderId="30" xfId="0" applyNumberFormat="1" applyFont="1" applyFill="1" applyBorder="1" applyAlignment="1">
      <alignment horizontal="center" wrapText="1"/>
    </xf>
    <xf numFmtId="0" fontId="2" fillId="0" borderId="15" xfId="0" applyFont="1" applyFill="1" applyBorder="1" applyAlignment="1">
      <alignment horizontal="left"/>
    </xf>
    <xf numFmtId="0" fontId="2" fillId="0" borderId="16" xfId="0" applyFont="1" applyFill="1" applyBorder="1" applyAlignment="1">
      <alignment horizontal="left"/>
    </xf>
    <xf numFmtId="0" fontId="2" fillId="0" borderId="17" xfId="0" applyFont="1" applyFill="1" applyBorder="1" applyAlignment="1">
      <alignment horizontal="left"/>
    </xf>
    <xf numFmtId="0" fontId="0" fillId="3" borderId="44" xfId="0" applyFill="1" applyBorder="1" applyAlignment="1">
      <alignment horizontal="left"/>
    </xf>
    <xf numFmtId="0" fontId="0" fillId="3" borderId="45" xfId="0" applyFill="1" applyBorder="1" applyAlignment="1">
      <alignment horizontal="left"/>
    </xf>
    <xf numFmtId="0" fontId="0" fillId="3" borderId="46" xfId="0" applyFill="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5" xfId="0" applyFont="1" applyBorder="1" applyAlignment="1"/>
    <xf numFmtId="0" fontId="2" fillId="0" borderId="16" xfId="0" applyFont="1" applyBorder="1" applyAlignment="1"/>
    <xf numFmtId="0" fontId="2" fillId="0" borderId="17" xfId="0" applyFont="1" applyBorder="1" applyAlignment="1"/>
    <xf numFmtId="0" fontId="0" fillId="4" borderId="44" xfId="0" applyFill="1" applyBorder="1" applyAlignment="1">
      <alignment horizontal="left"/>
    </xf>
    <xf numFmtId="0" fontId="0" fillId="4" borderId="45" xfId="0" applyFill="1" applyBorder="1" applyAlignment="1">
      <alignment horizontal="left"/>
    </xf>
    <xf numFmtId="0" fontId="0" fillId="4" borderId="46" xfId="0" applyFill="1" applyBorder="1" applyAlignment="1">
      <alignment horizontal="left"/>
    </xf>
    <xf numFmtId="0" fontId="0" fillId="2" borderId="5" xfId="0" applyFill="1" applyBorder="1" applyAlignment="1">
      <alignment horizontal="left"/>
    </xf>
    <xf numFmtId="0" fontId="0" fillId="2" borderId="2" xfId="0" applyFill="1" applyBorder="1" applyAlignment="1">
      <alignment horizontal="left"/>
    </xf>
    <xf numFmtId="0" fontId="0" fillId="2" borderId="6" xfId="0" applyFill="1" applyBorder="1" applyAlignment="1">
      <alignment horizontal="left"/>
    </xf>
    <xf numFmtId="0" fontId="0" fillId="2" borderId="1" xfId="0" applyFill="1" applyBorder="1" applyAlignment="1">
      <alignment horizontal="left"/>
    </xf>
    <xf numFmtId="0" fontId="0" fillId="2" borderId="44" xfId="0" applyFill="1" applyBorder="1" applyAlignment="1">
      <alignment horizontal="left"/>
    </xf>
    <xf numFmtId="0" fontId="0" fillId="2" borderId="45" xfId="0" applyFill="1" applyBorder="1" applyAlignment="1">
      <alignment horizontal="left"/>
    </xf>
    <xf numFmtId="0" fontId="0" fillId="2" borderId="46" xfId="0" applyFill="1" applyBorder="1" applyAlignment="1">
      <alignment horizontal="left"/>
    </xf>
    <xf numFmtId="0" fontId="2" fillId="0" borderId="29" xfId="0" applyFont="1" applyBorder="1" applyAlignment="1">
      <alignment horizontal="center"/>
    </xf>
    <xf numFmtId="0" fontId="2" fillId="0" borderId="25" xfId="0" applyFont="1" applyBorder="1" applyAlignment="1">
      <alignment horizontal="center"/>
    </xf>
    <xf numFmtId="0" fontId="2" fillId="0" borderId="29" xfId="0" applyFont="1" applyFill="1" applyBorder="1" applyAlignment="1">
      <alignment horizontal="center"/>
    </xf>
    <xf numFmtId="0" fontId="2" fillId="0" borderId="25" xfId="0" applyFont="1" applyFill="1" applyBorder="1" applyAlignment="1">
      <alignment horizontal="center"/>
    </xf>
    <xf numFmtId="0" fontId="2" fillId="7" borderId="35" xfId="0" applyFont="1" applyFill="1" applyBorder="1" applyAlignment="1">
      <alignment horizontal="left"/>
    </xf>
    <xf numFmtId="0" fontId="2" fillId="7" borderId="36" xfId="0" applyFont="1" applyFill="1" applyBorder="1" applyAlignment="1">
      <alignment horizontal="left"/>
    </xf>
    <xf numFmtId="0" fontId="2" fillId="7" borderId="61" xfId="0" applyFont="1" applyFill="1" applyBorder="1" applyAlignment="1">
      <alignment horizontal="left"/>
    </xf>
    <xf numFmtId="0" fontId="2" fillId="7" borderId="26" xfId="0" applyFont="1" applyFill="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44" fontId="20" fillId="7" borderId="1" xfId="4" applyFont="1" applyFill="1" applyBorder="1" applyAlignment="1">
      <alignment horizontal="center"/>
    </xf>
    <xf numFmtId="0" fontId="0" fillId="9" borderId="0" xfId="0" applyFill="1" applyBorder="1" applyAlignment="1">
      <alignment horizontal="center"/>
    </xf>
    <xf numFmtId="0" fontId="0" fillId="9" borderId="20" xfId="0" applyFill="1" applyBorder="1" applyAlignment="1">
      <alignment horizontal="center"/>
    </xf>
    <xf numFmtId="44" fontId="9" fillId="10" borderId="1" xfId="4" applyFont="1" applyFill="1" applyBorder="1" applyAlignment="1">
      <alignment horizontal="center"/>
    </xf>
    <xf numFmtId="0" fontId="17" fillId="0" borderId="5" xfId="0" applyFont="1" applyBorder="1" applyAlignment="1">
      <alignment horizontal="center"/>
    </xf>
    <xf numFmtId="0" fontId="17" fillId="0" borderId="2" xfId="0" applyFont="1" applyBorder="1" applyAlignment="1">
      <alignment horizontal="center"/>
    </xf>
    <xf numFmtId="0" fontId="17" fillId="0" borderId="6" xfId="0" applyFont="1" applyBorder="1" applyAlignment="1">
      <alignment horizontal="center"/>
    </xf>
    <xf numFmtId="44" fontId="20" fillId="7" borderId="7" xfId="4" applyFont="1" applyFill="1" applyBorder="1" applyAlignment="1">
      <alignment horizontal="center"/>
    </xf>
    <xf numFmtId="44" fontId="20" fillId="7" borderId="8" xfId="4" applyFont="1" applyFill="1" applyBorder="1" applyAlignment="1">
      <alignment horizontal="center"/>
    </xf>
    <xf numFmtId="44" fontId="20" fillId="7" borderId="55" xfId="4" applyFont="1" applyFill="1" applyBorder="1" applyAlignment="1">
      <alignment horizontal="center"/>
    </xf>
    <xf numFmtId="44" fontId="20" fillId="7" borderId="18" xfId="4" applyFont="1" applyFill="1" applyBorder="1" applyAlignment="1">
      <alignment horizontal="center"/>
    </xf>
    <xf numFmtId="44" fontId="20" fillId="7" borderId="56" xfId="4" applyFont="1" applyFill="1" applyBorder="1" applyAlignment="1">
      <alignment horizontal="center"/>
    </xf>
    <xf numFmtId="44" fontId="20" fillId="7" borderId="57" xfId="4" applyFont="1" applyFill="1" applyBorder="1" applyAlignment="1">
      <alignment horizontal="center"/>
    </xf>
    <xf numFmtId="44" fontId="20" fillId="7" borderId="31" xfId="4" applyFont="1" applyFill="1" applyBorder="1" applyAlignment="1">
      <alignment horizontal="center"/>
    </xf>
    <xf numFmtId="0" fontId="2" fillId="6" borderId="19" xfId="0" applyFont="1" applyFill="1" applyBorder="1" applyAlignment="1">
      <alignment horizontal="center" wrapText="1"/>
    </xf>
    <xf numFmtId="0" fontId="2" fillId="6" borderId="0" xfId="0" applyFont="1" applyFill="1" applyBorder="1" applyAlignment="1">
      <alignment horizontal="center" wrapText="1"/>
    </xf>
    <xf numFmtId="0" fontId="2" fillId="6" borderId="20" xfId="0" applyFont="1" applyFill="1" applyBorder="1" applyAlignment="1">
      <alignment horizontal="center" wrapText="1"/>
    </xf>
    <xf numFmtId="43" fontId="2" fillId="6" borderId="19" xfId="3" applyFont="1" applyFill="1" applyBorder="1" applyAlignment="1">
      <alignment horizontal="center"/>
    </xf>
    <xf numFmtId="43" fontId="0" fillId="6" borderId="0" xfId="3" applyFont="1" applyFill="1" applyBorder="1" applyAlignment="1">
      <alignment horizontal="center"/>
    </xf>
    <xf numFmtId="43" fontId="0" fillId="6" borderId="20" xfId="3" applyFont="1" applyFill="1" applyBorder="1" applyAlignment="1">
      <alignment horizontal="center"/>
    </xf>
    <xf numFmtId="0" fontId="2" fillId="7" borderId="3" xfId="0" applyFont="1" applyFill="1" applyBorder="1" applyAlignment="1">
      <alignment horizontal="right"/>
    </xf>
    <xf numFmtId="0" fontId="2" fillId="7" borderId="49" xfId="0" applyFont="1" applyFill="1" applyBorder="1" applyAlignment="1">
      <alignment horizontal="right"/>
    </xf>
    <xf numFmtId="44" fontId="20" fillId="7" borderId="58" xfId="4" applyFont="1" applyFill="1" applyBorder="1" applyAlignment="1">
      <alignment horizontal="center"/>
    </xf>
    <xf numFmtId="44" fontId="20" fillId="7" borderId="59" xfId="4" applyFont="1" applyFill="1" applyBorder="1" applyAlignment="1">
      <alignment horizontal="center"/>
    </xf>
    <xf numFmtId="44" fontId="20" fillId="7" borderId="60" xfId="4" applyFont="1" applyFill="1" applyBorder="1" applyAlignment="1">
      <alignment horizontal="center"/>
    </xf>
    <xf numFmtId="0" fontId="17" fillId="7" borderId="5" xfId="0" applyFont="1" applyFill="1" applyBorder="1" applyAlignment="1">
      <alignment horizontal="center"/>
    </xf>
    <xf numFmtId="0" fontId="17" fillId="7" borderId="2" xfId="0" applyFont="1" applyFill="1" applyBorder="1" applyAlignment="1">
      <alignment horizontal="center"/>
    </xf>
    <xf numFmtId="0" fontId="17" fillId="7" borderId="6" xfId="0" applyFont="1" applyFill="1" applyBorder="1" applyAlignment="1">
      <alignment horizontal="center"/>
    </xf>
    <xf numFmtId="167" fontId="0" fillId="3" borderId="2" xfId="0" applyNumberFormat="1" applyFill="1" applyBorder="1" applyAlignment="1">
      <alignment horizontal="left"/>
    </xf>
    <xf numFmtId="0" fontId="21" fillId="3" borderId="0" xfId="0" applyFont="1" applyFill="1" applyAlignment="1">
      <alignment horizontal="left" wrapText="1"/>
    </xf>
    <xf numFmtId="0" fontId="0" fillId="3" borderId="1" xfId="0" applyFill="1" applyBorder="1" applyAlignment="1">
      <alignment horizontal="left" vertical="center"/>
    </xf>
    <xf numFmtId="0" fontId="20" fillId="0" borderId="27" xfId="0" applyFont="1" applyBorder="1" applyAlignment="1">
      <alignment horizontal="center"/>
    </xf>
    <xf numFmtId="0" fontId="20" fillId="0" borderId="43" xfId="0" applyFont="1" applyBorder="1" applyAlignment="1">
      <alignment horizontal="center"/>
    </xf>
    <xf numFmtId="0" fontId="20" fillId="0" borderId="28" xfId="0" applyFont="1" applyBorder="1" applyAlignment="1">
      <alignment horizontal="center"/>
    </xf>
    <xf numFmtId="0" fontId="4" fillId="7" borderId="0" xfId="0" applyFont="1" applyFill="1" applyAlignment="1">
      <alignment horizontal="center"/>
    </xf>
    <xf numFmtId="168" fontId="0" fillId="0" borderId="63" xfId="0" applyNumberFormat="1" applyFill="1" applyBorder="1" applyAlignment="1">
      <alignment horizontal="left" vertical="center" wrapText="1"/>
    </xf>
  </cellXfs>
  <cellStyles count="6">
    <cellStyle name="Comma" xfId="3" builtinId="3"/>
    <cellStyle name="Currency" xfId="4" builtinId="4"/>
    <cellStyle name="Hyperlink" xfId="5" builtinId="8"/>
    <cellStyle name="Normal" xfId="0" builtinId="0"/>
    <cellStyle name="Normal 2" xfId="2"/>
    <cellStyle name="Percent" xfId="1" builtinId="5"/>
  </cellStyles>
  <dxfs count="1">
    <dxf>
      <font>
        <b/>
        <i val="0"/>
        <color rgb="FFFF0000"/>
      </font>
    </dxf>
  </dxfs>
  <tableStyles count="0" defaultTableStyle="TableStyleMedium2" defaultPivotStyle="PivotStyleLight16"/>
  <colors>
    <mruColors>
      <color rgb="FF00FF0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isweb.viu.ca/policy_procedure/docshow.asp?doc_id=21240" TargetMode="External"/><Relationship Id="rId1" Type="http://schemas.openxmlformats.org/officeDocument/2006/relationships/hyperlink" Target="https://isweb.viu.ca/policy_procedure/docshow.asp?doc_id=28751"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5</xdr:row>
          <xdr:rowOff>180975</xdr:rowOff>
        </xdr:from>
        <xdr:to>
          <xdr:col>3</xdr:col>
          <xdr:colOff>333375</xdr:colOff>
          <xdr:row>6</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xdr:row>
          <xdr:rowOff>180975</xdr:rowOff>
        </xdr:from>
        <xdr:to>
          <xdr:col>3</xdr:col>
          <xdr:colOff>771525</xdr:colOff>
          <xdr:row>6</xdr:row>
          <xdr:rowOff>247650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304800</xdr:rowOff>
        </xdr:from>
        <xdr:to>
          <xdr:col>3</xdr:col>
          <xdr:colOff>342900</xdr:colOff>
          <xdr:row>24</xdr:row>
          <xdr:rowOff>257175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23</xdr:row>
          <xdr:rowOff>304800</xdr:rowOff>
        </xdr:from>
        <xdr:to>
          <xdr:col>3</xdr:col>
          <xdr:colOff>819150</xdr:colOff>
          <xdr:row>24</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xdr:twoCellAnchor>
    <xdr:from>
      <xdr:col>3</xdr:col>
      <xdr:colOff>831272</xdr:colOff>
      <xdr:row>5</xdr:row>
      <xdr:rowOff>171450</xdr:rowOff>
    </xdr:from>
    <xdr:to>
      <xdr:col>3</xdr:col>
      <xdr:colOff>1948295</xdr:colOff>
      <xdr:row>6</xdr:row>
      <xdr:rowOff>257175</xdr:rowOff>
    </xdr:to>
    <xdr:sp macro="" textlink="">
      <xdr:nvSpPr>
        <xdr:cNvPr id="6" name="TextBox 5">
          <a:hlinkClick xmlns:r="http://schemas.openxmlformats.org/officeDocument/2006/relationships" r:id="rId1"/>
        </xdr:cNvPr>
        <xdr:cNvSpPr txBox="1"/>
      </xdr:nvSpPr>
      <xdr:spPr>
        <a:xfrm>
          <a:off x="4688897" y="2914650"/>
          <a:ext cx="111702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u="sng">
              <a:solidFill>
                <a:srgbClr val="0070C0"/>
              </a:solidFill>
            </a:rPr>
            <a:t>See Policy 33.14</a:t>
          </a:r>
        </a:p>
      </xdr:txBody>
    </xdr:sp>
    <xdr:clientData/>
  </xdr:twoCellAnchor>
  <xdr:twoCellAnchor>
    <xdr:from>
      <xdr:col>3</xdr:col>
      <xdr:colOff>837335</xdr:colOff>
      <xdr:row>6</xdr:row>
      <xdr:rowOff>226002</xdr:rowOff>
    </xdr:from>
    <xdr:to>
      <xdr:col>4</xdr:col>
      <xdr:colOff>228602</xdr:colOff>
      <xdr:row>6</xdr:row>
      <xdr:rowOff>504825</xdr:rowOff>
    </xdr:to>
    <xdr:sp macro="" textlink="">
      <xdr:nvSpPr>
        <xdr:cNvPr id="7" name="TextBox 6">
          <a:hlinkClick xmlns:r="http://schemas.openxmlformats.org/officeDocument/2006/relationships" r:id="rId2"/>
        </xdr:cNvPr>
        <xdr:cNvSpPr txBox="1"/>
      </xdr:nvSpPr>
      <xdr:spPr>
        <a:xfrm>
          <a:off x="4694960" y="3169227"/>
          <a:ext cx="1420092" cy="278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0070C0"/>
              </a:solidFill>
            </a:rPr>
            <a:t>See Policy</a:t>
          </a:r>
          <a:r>
            <a:rPr lang="en-US" sz="1100" b="1" u="sng" baseline="0">
              <a:solidFill>
                <a:srgbClr val="0070C0"/>
              </a:solidFill>
            </a:rPr>
            <a:t> 41.08.002</a:t>
          </a:r>
          <a:endParaRPr lang="en-US" sz="1100" b="1" u="sng">
            <a:solidFill>
              <a:srgbClr val="0070C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333375</xdr:colOff>
          <xdr:row>18</xdr:row>
          <xdr:rowOff>276225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18</xdr:row>
          <xdr:rowOff>9525</xdr:rowOff>
        </xdr:from>
        <xdr:to>
          <xdr:col>3</xdr:col>
          <xdr:colOff>809625</xdr:colOff>
          <xdr:row>18</xdr:row>
          <xdr:rowOff>276225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333375</xdr:colOff>
          <xdr:row>19</xdr:row>
          <xdr:rowOff>276225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19</xdr:row>
          <xdr:rowOff>9525</xdr:rowOff>
        </xdr:from>
        <xdr:to>
          <xdr:col>3</xdr:col>
          <xdr:colOff>809625</xdr:colOff>
          <xdr:row>19</xdr:row>
          <xdr:rowOff>276225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19</xdr:row>
          <xdr:rowOff>9525</xdr:rowOff>
        </xdr:from>
        <xdr:to>
          <xdr:col>3</xdr:col>
          <xdr:colOff>1990725</xdr:colOff>
          <xdr:row>19</xdr:row>
          <xdr:rowOff>276225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Not Applicable</a:t>
              </a:r>
            </a:p>
          </xdr:txBody>
        </xdr:sp>
        <xdr:clientData/>
      </xdr:twoCellAnchor>
    </mc:Choice>
    <mc:Fallback/>
  </mc:AlternateContent>
  <xdr:twoCellAnchor>
    <xdr:from>
      <xdr:col>2</xdr:col>
      <xdr:colOff>8659</xdr:colOff>
      <xdr:row>11</xdr:row>
      <xdr:rowOff>60614</xdr:rowOff>
    </xdr:from>
    <xdr:to>
      <xdr:col>4</xdr:col>
      <xdr:colOff>17318</xdr:colOff>
      <xdr:row>17</xdr:row>
      <xdr:rowOff>216477</xdr:rowOff>
    </xdr:to>
    <xdr:sp macro="" textlink="">
      <xdr:nvSpPr>
        <xdr:cNvPr id="2" name="TextBox 1"/>
        <xdr:cNvSpPr txBox="1"/>
      </xdr:nvSpPr>
      <xdr:spPr>
        <a:xfrm>
          <a:off x="510886" y="4476750"/>
          <a:ext cx="6329796" cy="1662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twoCellAnchor>
    <xdr:from>
      <xdr:col>2</xdr:col>
      <xdr:colOff>0</xdr:colOff>
      <xdr:row>25</xdr:row>
      <xdr:rowOff>294410</xdr:rowOff>
    </xdr:from>
    <xdr:to>
      <xdr:col>4</xdr:col>
      <xdr:colOff>8659</xdr:colOff>
      <xdr:row>40</xdr:row>
      <xdr:rowOff>86591</xdr:rowOff>
    </xdr:to>
    <xdr:sp macro="" textlink="">
      <xdr:nvSpPr>
        <xdr:cNvPr id="14" name="TextBox 13"/>
        <xdr:cNvSpPr txBox="1"/>
      </xdr:nvSpPr>
      <xdr:spPr>
        <a:xfrm>
          <a:off x="502227" y="8944842"/>
          <a:ext cx="6329796" cy="3861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67"/>
  <sheetViews>
    <sheetView tabSelected="1" zoomScale="110" zoomScaleNormal="110" workbookViewId="0">
      <selection activeCell="D4" sqref="D4"/>
    </sheetView>
  </sheetViews>
  <sheetFormatPr defaultRowHeight="39.950000000000003" customHeight="1" x14ac:dyDescent="0.25"/>
  <cols>
    <col min="1" max="2" width="3.7109375" style="294" customWidth="1"/>
    <col min="3" max="3" width="64.42578125" style="295" customWidth="1"/>
    <col min="4" max="4" width="30.42578125" style="294" customWidth="1"/>
    <col min="5" max="5" width="4.42578125" style="294" customWidth="1"/>
    <col min="6" max="16384" width="9.140625" style="278"/>
  </cols>
  <sheetData>
    <row r="1" spans="1:16" s="264" customFormat="1" ht="21" x14ac:dyDescent="0.25">
      <c r="A1" s="305" t="s">
        <v>254</v>
      </c>
      <c r="B1" s="306"/>
      <c r="C1" s="307"/>
      <c r="D1" s="306"/>
      <c r="E1" s="306"/>
    </row>
    <row r="2" spans="1:16" s="265" customFormat="1" ht="46.5" customHeight="1" x14ac:dyDescent="0.25">
      <c r="A2" s="338" t="s">
        <v>255</v>
      </c>
      <c r="B2" s="338"/>
      <c r="C2" s="338"/>
      <c r="D2" s="338"/>
      <c r="E2" s="338"/>
    </row>
    <row r="3" spans="1:16" s="265" customFormat="1" ht="39.950000000000003" customHeight="1" x14ac:dyDescent="0.25">
      <c r="A3" s="266"/>
      <c r="B3" s="267" t="s">
        <v>216</v>
      </c>
      <c r="C3" s="268" t="s">
        <v>217</v>
      </c>
      <c r="D3" s="269"/>
      <c r="E3" s="267"/>
    </row>
    <row r="4" spans="1:16" s="272" customFormat="1" ht="32.25" customHeight="1" x14ac:dyDescent="0.25">
      <c r="A4" s="270"/>
      <c r="B4" s="267" t="s">
        <v>218</v>
      </c>
      <c r="C4" s="271" t="s">
        <v>219</v>
      </c>
      <c r="D4" s="452" t="str">
        <f>"$"&amp;'Input Area'!F9&amp;" "&amp;'Input Area'!G9&amp;"
"&amp;"$"&amp;'Input Area'!I9&amp;" "&amp;'Input Area'!J9</f>
        <v>$ DOMESTIC
$ INTERNATIONAL</v>
      </c>
      <c r="E4" s="270"/>
    </row>
    <row r="5" spans="1:16" ht="45" customHeight="1" x14ac:dyDescent="0.25">
      <c r="A5" s="273"/>
      <c r="B5" s="274" t="s">
        <v>220</v>
      </c>
      <c r="C5" s="275" t="s">
        <v>221</v>
      </c>
      <c r="D5" s="276"/>
      <c r="E5" s="277"/>
    </row>
    <row r="6" spans="1:16" ht="15.75" customHeight="1" x14ac:dyDescent="0.25">
      <c r="A6" s="273"/>
      <c r="B6" s="274"/>
      <c r="C6" s="275"/>
      <c r="D6" s="275"/>
      <c r="E6" s="277"/>
    </row>
    <row r="7" spans="1:16" ht="56.25" customHeight="1" x14ac:dyDescent="0.25">
      <c r="A7" s="273"/>
      <c r="B7" s="273" t="s">
        <v>222</v>
      </c>
      <c r="C7" s="275" t="s">
        <v>223</v>
      </c>
      <c r="D7" s="273"/>
      <c r="E7" s="279"/>
      <c r="F7" s="280"/>
      <c r="G7" s="280"/>
    </row>
    <row r="8" spans="1:16" ht="19.5" customHeight="1" x14ac:dyDescent="0.25">
      <c r="A8" s="273"/>
      <c r="B8" s="281" t="s">
        <v>224</v>
      </c>
      <c r="C8" s="270" t="s">
        <v>243</v>
      </c>
      <c r="D8" s="283"/>
      <c r="E8" s="279"/>
      <c r="F8" s="280"/>
      <c r="G8" s="280"/>
    </row>
    <row r="9" spans="1:16" s="272" customFormat="1" ht="19.5" customHeight="1" x14ac:dyDescent="0.25">
      <c r="A9" s="270"/>
      <c r="B9" s="281" t="s">
        <v>226</v>
      </c>
      <c r="C9" s="271" t="s">
        <v>225</v>
      </c>
      <c r="D9" s="282"/>
      <c r="E9" s="270"/>
    </row>
    <row r="10" spans="1:16" s="272" customFormat="1" ht="19.5" customHeight="1" x14ac:dyDescent="0.25">
      <c r="A10" s="270"/>
      <c r="B10" s="281" t="s">
        <v>228</v>
      </c>
      <c r="C10" s="271" t="s">
        <v>227</v>
      </c>
      <c r="D10" s="283"/>
      <c r="E10" s="284"/>
    </row>
    <row r="11" spans="1:16" s="272" customFormat="1" ht="39.950000000000003" customHeight="1" x14ac:dyDescent="0.25">
      <c r="A11" s="270"/>
      <c r="B11" s="286" t="s">
        <v>229</v>
      </c>
      <c r="C11" s="339" t="s">
        <v>248</v>
      </c>
      <c r="D11" s="339"/>
      <c r="E11" s="284"/>
      <c r="P11" s="272" t="s">
        <v>247</v>
      </c>
    </row>
    <row r="12" spans="1:16" s="272" customFormat="1" ht="20.100000000000001" customHeight="1" x14ac:dyDescent="0.25">
      <c r="A12" s="270"/>
      <c r="B12" s="286"/>
      <c r="C12" s="334"/>
      <c r="D12" s="334"/>
      <c r="E12" s="334"/>
    </row>
    <row r="13" spans="1:16" s="272" customFormat="1" ht="20.100000000000001" customHeight="1" x14ac:dyDescent="0.25">
      <c r="A13" s="270"/>
      <c r="B13" s="286"/>
      <c r="C13" s="334"/>
      <c r="D13" s="334"/>
      <c r="E13" s="334"/>
    </row>
    <row r="14" spans="1:16" s="272" customFormat="1" ht="20.100000000000001" customHeight="1" x14ac:dyDescent="0.25">
      <c r="A14" s="270"/>
      <c r="B14" s="286"/>
      <c r="C14" s="334"/>
      <c r="D14" s="334"/>
      <c r="E14" s="334"/>
    </row>
    <row r="15" spans="1:16" s="272" customFormat="1" ht="20.100000000000001" customHeight="1" x14ac:dyDescent="0.25">
      <c r="A15" s="270"/>
      <c r="B15" s="281"/>
      <c r="C15" s="334"/>
      <c r="D15" s="334"/>
      <c r="E15" s="334"/>
      <c r="P15" s="272" t="s">
        <v>244</v>
      </c>
    </row>
    <row r="16" spans="1:16" s="287" customFormat="1" ht="20.100000000000001" customHeight="1" x14ac:dyDescent="0.25">
      <c r="A16" s="285"/>
      <c r="B16" s="281"/>
      <c r="C16" s="334"/>
      <c r="D16" s="334"/>
      <c r="E16" s="334"/>
      <c r="P16" s="287" t="s">
        <v>245</v>
      </c>
    </row>
    <row r="17" spans="1:16" ht="20.100000000000001" customHeight="1" x14ac:dyDescent="0.25">
      <c r="A17" s="273"/>
      <c r="B17" s="288"/>
      <c r="C17" s="334"/>
      <c r="D17" s="334"/>
      <c r="E17" s="334"/>
      <c r="P17" s="278" t="s">
        <v>246</v>
      </c>
    </row>
    <row r="18" spans="1:16" ht="20.100000000000001" customHeight="1" x14ac:dyDescent="0.25">
      <c r="A18" s="273"/>
      <c r="B18" s="288"/>
      <c r="C18" s="334"/>
      <c r="D18" s="334"/>
      <c r="E18" s="334"/>
    </row>
    <row r="19" spans="1:16" ht="39.950000000000003" customHeight="1" x14ac:dyDescent="0.25">
      <c r="A19" s="273"/>
      <c r="B19" s="273" t="s">
        <v>231</v>
      </c>
      <c r="C19" s="289" t="s">
        <v>230</v>
      </c>
      <c r="D19" s="289"/>
      <c r="E19" s="289"/>
      <c r="F19" s="280"/>
      <c r="G19" s="280"/>
    </row>
    <row r="20" spans="1:16" ht="39.950000000000003" customHeight="1" x14ac:dyDescent="0.25">
      <c r="A20" s="273"/>
      <c r="B20" s="273" t="s">
        <v>249</v>
      </c>
      <c r="C20" s="289" t="s">
        <v>232</v>
      </c>
      <c r="D20" s="289"/>
      <c r="E20" s="289"/>
      <c r="F20" s="280"/>
      <c r="G20" s="280"/>
    </row>
    <row r="21" spans="1:16" ht="30" customHeight="1" x14ac:dyDescent="0.25">
      <c r="A21" s="273"/>
      <c r="B21" s="273" t="s">
        <v>250</v>
      </c>
      <c r="C21" s="289" t="s">
        <v>253</v>
      </c>
      <c r="D21" s="312" t="s">
        <v>251</v>
      </c>
      <c r="E21" s="289"/>
      <c r="F21" s="313" t="s">
        <v>252</v>
      </c>
      <c r="G21" s="280"/>
    </row>
    <row r="22" spans="1:16" ht="13.5" customHeight="1" x14ac:dyDescent="0.25">
      <c r="A22" s="273"/>
      <c r="B22" s="273"/>
      <c r="C22" s="289"/>
      <c r="D22" s="289"/>
      <c r="E22" s="289"/>
      <c r="F22" s="280"/>
      <c r="G22" s="280"/>
    </row>
    <row r="23" spans="1:16" s="272" customFormat="1" ht="21" customHeight="1" x14ac:dyDescent="0.25">
      <c r="A23" s="308" t="s">
        <v>241</v>
      </c>
      <c r="B23" s="309"/>
      <c r="C23" s="310"/>
      <c r="D23" s="311"/>
      <c r="E23" s="311"/>
      <c r="F23" s="290"/>
      <c r="G23" s="290"/>
    </row>
    <row r="24" spans="1:16" s="272" customFormat="1" ht="19.5" customHeight="1" x14ac:dyDescent="0.25">
      <c r="A24" s="304" t="s">
        <v>242</v>
      </c>
      <c r="B24" s="303"/>
      <c r="C24" s="302"/>
      <c r="D24" s="302"/>
      <c r="E24" s="303"/>
    </row>
    <row r="25" spans="1:16" ht="31.5" customHeight="1" x14ac:dyDescent="0.25">
      <c r="A25" s="296"/>
      <c r="B25" s="296" t="s">
        <v>216</v>
      </c>
      <c r="C25" s="299" t="s">
        <v>233</v>
      </c>
      <c r="D25" s="301"/>
      <c r="E25" s="296"/>
    </row>
    <row r="26" spans="1:16" s="272" customFormat="1" ht="24.95" customHeight="1" x14ac:dyDescent="0.25">
      <c r="A26" s="298"/>
      <c r="B26" s="298" t="s">
        <v>218</v>
      </c>
      <c r="C26" s="297" t="s">
        <v>234</v>
      </c>
      <c r="D26" s="298"/>
      <c r="E26" s="298"/>
    </row>
    <row r="27" spans="1:16" s="272" customFormat="1" ht="24.95" customHeight="1" x14ac:dyDescent="0.25">
      <c r="A27" s="298"/>
      <c r="B27" s="298"/>
      <c r="C27" s="297"/>
      <c r="D27" s="298"/>
      <c r="E27" s="298"/>
    </row>
    <row r="28" spans="1:16" s="272" customFormat="1" ht="24.95" customHeight="1" x14ac:dyDescent="0.25">
      <c r="A28" s="298"/>
      <c r="B28" s="298"/>
      <c r="C28" s="297"/>
      <c r="D28" s="298"/>
      <c r="E28" s="298"/>
    </row>
    <row r="29" spans="1:16" s="272" customFormat="1" ht="24.95" customHeight="1" x14ac:dyDescent="0.25">
      <c r="A29" s="298"/>
      <c r="B29" s="298"/>
      <c r="C29" s="297"/>
      <c r="D29" s="298"/>
      <c r="E29" s="298"/>
    </row>
    <row r="30" spans="1:16" s="272" customFormat="1" ht="24.95" customHeight="1" x14ac:dyDescent="0.25">
      <c r="A30" s="298"/>
      <c r="B30" s="298"/>
      <c r="C30" s="297"/>
      <c r="D30" s="298"/>
      <c r="E30" s="298"/>
    </row>
    <row r="31" spans="1:16" s="272" customFormat="1" ht="20.100000000000001" customHeight="1" x14ac:dyDescent="0.25">
      <c r="A31" s="298"/>
      <c r="B31" s="298"/>
      <c r="C31" s="297"/>
      <c r="D31" s="298"/>
      <c r="E31" s="298"/>
    </row>
    <row r="32" spans="1:16" s="272" customFormat="1" ht="20.100000000000001" customHeight="1" x14ac:dyDescent="0.25">
      <c r="A32" s="298"/>
      <c r="B32" s="298"/>
      <c r="C32" s="297"/>
      <c r="D32" s="298"/>
      <c r="E32" s="298"/>
    </row>
    <row r="33" spans="1:6" s="272" customFormat="1" ht="20.100000000000001" customHeight="1" x14ac:dyDescent="0.25">
      <c r="A33" s="298"/>
      <c r="B33" s="298"/>
      <c r="C33" s="297"/>
      <c r="D33" s="298"/>
      <c r="E33" s="298"/>
    </row>
    <row r="34" spans="1:6" s="272" customFormat="1" ht="20.100000000000001" customHeight="1" x14ac:dyDescent="0.25">
      <c r="A34" s="298"/>
      <c r="B34" s="298"/>
      <c r="C34" s="297"/>
      <c r="D34" s="298"/>
      <c r="E34" s="298"/>
    </row>
    <row r="35" spans="1:6" s="272" customFormat="1" ht="20.100000000000001" customHeight="1" x14ac:dyDescent="0.25">
      <c r="A35" s="298"/>
      <c r="B35" s="298"/>
      <c r="C35" s="297"/>
      <c r="D35" s="298"/>
      <c r="E35" s="298"/>
    </row>
    <row r="36" spans="1:6" s="272" customFormat="1" ht="20.100000000000001" customHeight="1" x14ac:dyDescent="0.25">
      <c r="A36" s="298"/>
      <c r="B36" s="298"/>
      <c r="C36" s="297"/>
      <c r="D36" s="298"/>
      <c r="E36" s="298"/>
    </row>
    <row r="37" spans="1:6" s="272" customFormat="1" ht="20.100000000000001" customHeight="1" x14ac:dyDescent="0.25">
      <c r="A37" s="298"/>
      <c r="B37" s="298"/>
      <c r="C37" s="297"/>
      <c r="D37" s="298"/>
      <c r="E37" s="298"/>
    </row>
    <row r="38" spans="1:6" s="272" customFormat="1" ht="20.100000000000001" customHeight="1" x14ac:dyDescent="0.25">
      <c r="A38" s="298"/>
      <c r="B38" s="298"/>
      <c r="C38" s="297"/>
      <c r="D38" s="298"/>
      <c r="E38" s="298"/>
    </row>
    <row r="39" spans="1:6" s="272" customFormat="1" ht="20.100000000000001" customHeight="1" x14ac:dyDescent="0.25">
      <c r="A39" s="298"/>
      <c r="B39" s="298"/>
      <c r="C39" s="297"/>
      <c r="D39" s="298"/>
      <c r="E39" s="298"/>
    </row>
    <row r="40" spans="1:6" s="272" customFormat="1" ht="20.100000000000001" customHeight="1" x14ac:dyDescent="0.25">
      <c r="A40" s="298"/>
      <c r="B40" s="298"/>
      <c r="C40" s="297"/>
      <c r="D40" s="298"/>
      <c r="E40" s="298"/>
    </row>
    <row r="41" spans="1:6" ht="20.100000000000001" customHeight="1" x14ac:dyDescent="0.25">
      <c r="A41" s="296"/>
      <c r="B41" s="296"/>
      <c r="C41" s="296"/>
      <c r="D41" s="296"/>
      <c r="E41" s="296"/>
    </row>
    <row r="42" spans="1:6" s="272" customFormat="1" ht="20.100000000000001" customHeight="1" x14ac:dyDescent="0.25">
      <c r="A42" s="298"/>
      <c r="B42" s="298" t="s">
        <v>220</v>
      </c>
      <c r="C42" s="297" t="s">
        <v>235</v>
      </c>
      <c r="D42" s="291" t="s">
        <v>240</v>
      </c>
      <c r="E42" s="298"/>
      <c r="F42" s="290"/>
    </row>
    <row r="43" spans="1:6" s="272" customFormat="1" ht="20.100000000000001" customHeight="1" x14ac:dyDescent="0.25">
      <c r="A43" s="298"/>
      <c r="B43" s="298" t="s">
        <v>222</v>
      </c>
      <c r="C43" s="297" t="s">
        <v>237</v>
      </c>
      <c r="D43" s="292"/>
      <c r="E43" s="300"/>
      <c r="F43" s="290"/>
    </row>
    <row r="44" spans="1:6" ht="12.75" customHeight="1" x14ac:dyDescent="0.25">
      <c r="A44" s="297"/>
      <c r="B44" s="297"/>
      <c r="C44" s="297"/>
      <c r="D44" s="297"/>
      <c r="E44" s="297"/>
    </row>
    <row r="45" spans="1:6" ht="39.950000000000003" customHeight="1" x14ac:dyDescent="0.25">
      <c r="A45" s="337"/>
      <c r="B45" s="337"/>
      <c r="C45" s="335"/>
      <c r="D45" s="337"/>
      <c r="E45" s="337"/>
    </row>
    <row r="46" spans="1:6" ht="39.950000000000003" customHeight="1" x14ac:dyDescent="0.25">
      <c r="A46" s="337"/>
      <c r="B46" s="337"/>
      <c r="C46" s="335"/>
      <c r="D46" s="337"/>
      <c r="E46" s="337"/>
    </row>
    <row r="47" spans="1:6" ht="39.950000000000003" customHeight="1" x14ac:dyDescent="0.25">
      <c r="A47" s="337"/>
      <c r="B47" s="337"/>
      <c r="C47" s="335"/>
      <c r="D47" s="337"/>
      <c r="E47" s="337"/>
    </row>
    <row r="48" spans="1:6" ht="39.950000000000003" hidden="1" customHeight="1" x14ac:dyDescent="0.25">
      <c r="A48" s="278"/>
      <c r="B48" s="278" t="s">
        <v>236</v>
      </c>
      <c r="C48" s="293"/>
      <c r="D48" s="278"/>
      <c r="E48" s="278"/>
    </row>
    <row r="49" spans="1:5" ht="39.950000000000003" hidden="1" customHeight="1" x14ac:dyDescent="0.25">
      <c r="A49" s="278"/>
      <c r="B49" s="278" t="s">
        <v>238</v>
      </c>
      <c r="C49" s="293"/>
      <c r="D49" s="278"/>
      <c r="E49" s="278"/>
    </row>
    <row r="50" spans="1:5" ht="39.950000000000003" hidden="1" customHeight="1" x14ac:dyDescent="0.25">
      <c r="A50" s="278"/>
      <c r="B50" s="278" t="s">
        <v>239</v>
      </c>
      <c r="C50" s="293"/>
      <c r="D50" s="278"/>
      <c r="E50" s="278"/>
    </row>
    <row r="51" spans="1:5" ht="39.950000000000003" hidden="1" customHeight="1" x14ac:dyDescent="0.25">
      <c r="A51" s="278"/>
      <c r="B51" s="278" t="s">
        <v>240</v>
      </c>
      <c r="C51" s="293"/>
      <c r="D51" s="278"/>
      <c r="E51" s="278"/>
    </row>
    <row r="52" spans="1:5" ht="39.950000000000003" customHeight="1" x14ac:dyDescent="0.25">
      <c r="A52" s="278"/>
      <c r="B52" s="278"/>
      <c r="C52" s="293"/>
      <c r="D52" s="278"/>
      <c r="E52" s="278"/>
    </row>
    <row r="53" spans="1:5" ht="39.950000000000003" customHeight="1" x14ac:dyDescent="0.25">
      <c r="A53" s="278"/>
      <c r="B53" s="278"/>
      <c r="C53" s="293"/>
      <c r="D53" s="278"/>
      <c r="E53" s="278"/>
    </row>
    <row r="54" spans="1:5" ht="39.950000000000003" customHeight="1" x14ac:dyDescent="0.25">
      <c r="A54" s="278"/>
      <c r="B54" s="278"/>
      <c r="C54" s="293"/>
      <c r="D54" s="278"/>
      <c r="E54" s="278"/>
    </row>
    <row r="55" spans="1:5" ht="39.950000000000003" customHeight="1" x14ac:dyDescent="0.25">
      <c r="A55" s="278"/>
      <c r="B55" s="278"/>
      <c r="C55" s="293"/>
      <c r="D55" s="278"/>
      <c r="E55" s="278"/>
    </row>
    <row r="56" spans="1:5" ht="39.950000000000003" customHeight="1" x14ac:dyDescent="0.25">
      <c r="A56" s="278"/>
      <c r="B56" s="278"/>
      <c r="C56" s="293"/>
      <c r="D56" s="278"/>
      <c r="E56" s="278"/>
    </row>
    <row r="57" spans="1:5" ht="39.950000000000003" customHeight="1" x14ac:dyDescent="0.25">
      <c r="A57" s="278"/>
      <c r="B57" s="278"/>
      <c r="C57" s="293"/>
      <c r="D57" s="278"/>
      <c r="E57" s="278"/>
    </row>
    <row r="58" spans="1:5" ht="39.950000000000003" customHeight="1" x14ac:dyDescent="0.25">
      <c r="A58" s="278"/>
      <c r="B58" s="278"/>
      <c r="C58" s="293"/>
      <c r="D58" s="278"/>
      <c r="E58" s="278"/>
    </row>
    <row r="59" spans="1:5" ht="39.950000000000003" customHeight="1" x14ac:dyDescent="0.25">
      <c r="A59" s="278"/>
      <c r="B59" s="278"/>
      <c r="C59" s="293"/>
      <c r="D59" s="278"/>
      <c r="E59" s="278"/>
    </row>
    <row r="60" spans="1:5" ht="39.950000000000003" customHeight="1" x14ac:dyDescent="0.25">
      <c r="A60" s="278"/>
      <c r="B60" s="278"/>
      <c r="C60" s="293"/>
      <c r="D60" s="278"/>
      <c r="E60" s="278"/>
    </row>
    <row r="61" spans="1:5" ht="39.950000000000003" customHeight="1" x14ac:dyDescent="0.25">
      <c r="A61" s="278"/>
      <c r="B61" s="278"/>
      <c r="C61" s="293"/>
      <c r="D61" s="278"/>
      <c r="E61" s="278"/>
    </row>
    <row r="62" spans="1:5" ht="39.950000000000003" customHeight="1" x14ac:dyDescent="0.25">
      <c r="A62" s="278"/>
      <c r="B62" s="278"/>
      <c r="C62" s="293"/>
      <c r="D62" s="278"/>
      <c r="E62" s="278"/>
    </row>
    <row r="63" spans="1:5" ht="39.950000000000003" customHeight="1" x14ac:dyDescent="0.25">
      <c r="A63" s="278"/>
      <c r="B63" s="278"/>
      <c r="C63" s="293"/>
      <c r="D63" s="278"/>
      <c r="E63" s="278"/>
    </row>
    <row r="64" spans="1:5" ht="39.950000000000003" customHeight="1" x14ac:dyDescent="0.25">
      <c r="A64" s="278"/>
      <c r="B64" s="278"/>
      <c r="C64" s="293"/>
      <c r="D64" s="278"/>
      <c r="E64" s="278"/>
    </row>
    <row r="65" spans="1:5" ht="39.950000000000003" customHeight="1" x14ac:dyDescent="0.25">
      <c r="A65" s="278"/>
      <c r="B65" s="278"/>
      <c r="C65" s="293"/>
      <c r="D65" s="278"/>
      <c r="E65" s="278"/>
    </row>
    <row r="66" spans="1:5" ht="39.950000000000003" customHeight="1" x14ac:dyDescent="0.25">
      <c r="A66" s="278"/>
      <c r="B66" s="278"/>
      <c r="C66" s="293"/>
      <c r="D66" s="278"/>
      <c r="E66" s="278"/>
    </row>
    <row r="67" spans="1:5" ht="39.950000000000003" customHeight="1" x14ac:dyDescent="0.25">
      <c r="A67" s="278"/>
      <c r="B67" s="278"/>
      <c r="C67" s="293"/>
      <c r="D67" s="278"/>
      <c r="E67" s="278"/>
    </row>
    <row r="68" spans="1:5" ht="39.950000000000003" customHeight="1" x14ac:dyDescent="0.25">
      <c r="A68" s="278"/>
      <c r="B68" s="278"/>
      <c r="C68" s="293"/>
      <c r="D68" s="278"/>
      <c r="E68" s="278"/>
    </row>
    <row r="69" spans="1:5" ht="39.950000000000003" customHeight="1" x14ac:dyDescent="0.25">
      <c r="A69" s="278"/>
      <c r="B69" s="278"/>
      <c r="C69" s="293"/>
      <c r="D69" s="278"/>
      <c r="E69" s="278"/>
    </row>
    <row r="70" spans="1:5" ht="39.950000000000003" customHeight="1" x14ac:dyDescent="0.25">
      <c r="A70" s="278"/>
      <c r="B70" s="278"/>
      <c r="C70" s="293"/>
      <c r="D70" s="278"/>
      <c r="E70" s="278"/>
    </row>
    <row r="71" spans="1:5" ht="39.950000000000003" customHeight="1" x14ac:dyDescent="0.25">
      <c r="A71" s="278"/>
      <c r="B71" s="278"/>
      <c r="C71" s="293"/>
      <c r="D71" s="278"/>
      <c r="E71" s="278"/>
    </row>
    <row r="72" spans="1:5" ht="39.950000000000003" customHeight="1" x14ac:dyDescent="0.25">
      <c r="A72" s="278"/>
      <c r="B72" s="278"/>
      <c r="C72" s="293"/>
      <c r="D72" s="278"/>
      <c r="E72" s="278"/>
    </row>
    <row r="73" spans="1:5" ht="39.950000000000003" customHeight="1" x14ac:dyDescent="0.25">
      <c r="A73" s="278"/>
      <c r="B73" s="278"/>
      <c r="C73" s="293"/>
      <c r="D73" s="278"/>
      <c r="E73" s="278"/>
    </row>
    <row r="74" spans="1:5" ht="39.950000000000003" customHeight="1" x14ac:dyDescent="0.25">
      <c r="A74" s="278"/>
      <c r="B74" s="278"/>
      <c r="C74" s="293"/>
      <c r="D74" s="278"/>
      <c r="E74" s="278"/>
    </row>
    <row r="75" spans="1:5" ht="39.950000000000003" customHeight="1" x14ac:dyDescent="0.25">
      <c r="A75" s="278"/>
      <c r="B75" s="278"/>
      <c r="C75" s="293"/>
      <c r="D75" s="278"/>
      <c r="E75" s="278"/>
    </row>
    <row r="76" spans="1:5" ht="39.950000000000003" customHeight="1" x14ac:dyDescent="0.25">
      <c r="A76" s="278"/>
      <c r="B76" s="278"/>
      <c r="C76" s="293"/>
      <c r="D76" s="278"/>
      <c r="E76" s="278"/>
    </row>
    <row r="77" spans="1:5" ht="39.950000000000003" customHeight="1" x14ac:dyDescent="0.25">
      <c r="A77" s="278"/>
      <c r="B77" s="278"/>
      <c r="C77" s="293"/>
      <c r="D77" s="278"/>
      <c r="E77" s="278"/>
    </row>
    <row r="78" spans="1:5" ht="39.950000000000003" customHeight="1" x14ac:dyDescent="0.25">
      <c r="A78" s="278"/>
      <c r="B78" s="278"/>
      <c r="C78" s="293"/>
      <c r="D78" s="278"/>
      <c r="E78" s="278"/>
    </row>
    <row r="79" spans="1:5" ht="39.950000000000003" customHeight="1" x14ac:dyDescent="0.25">
      <c r="A79" s="278"/>
      <c r="B79" s="278"/>
      <c r="C79" s="293"/>
      <c r="D79" s="278"/>
      <c r="E79" s="278"/>
    </row>
    <row r="80" spans="1:5" ht="39.950000000000003" customHeight="1" x14ac:dyDescent="0.25">
      <c r="A80" s="278"/>
      <c r="B80" s="278"/>
      <c r="C80" s="293"/>
      <c r="D80" s="278"/>
      <c r="E80" s="278"/>
    </row>
    <row r="81" spans="1:5" ht="39.950000000000003" customHeight="1" x14ac:dyDescent="0.25">
      <c r="A81" s="278"/>
      <c r="B81" s="278"/>
      <c r="C81" s="293"/>
      <c r="D81" s="278"/>
      <c r="E81" s="278"/>
    </row>
    <row r="82" spans="1:5" ht="39.950000000000003" customHeight="1" x14ac:dyDescent="0.25">
      <c r="A82" s="278"/>
      <c r="B82" s="278"/>
      <c r="C82" s="293"/>
      <c r="D82" s="278"/>
      <c r="E82" s="278"/>
    </row>
    <row r="83" spans="1:5" ht="39.950000000000003" customHeight="1" x14ac:dyDescent="0.25">
      <c r="A83" s="278"/>
      <c r="B83" s="278"/>
      <c r="C83" s="293"/>
      <c r="D83" s="278"/>
      <c r="E83" s="278"/>
    </row>
    <row r="84" spans="1:5" ht="39.950000000000003" customHeight="1" x14ac:dyDescent="0.25">
      <c r="A84" s="278"/>
      <c r="B84" s="278"/>
      <c r="C84" s="293"/>
      <c r="D84" s="278"/>
      <c r="E84" s="278"/>
    </row>
    <row r="85" spans="1:5" ht="39.950000000000003" customHeight="1" x14ac:dyDescent="0.25">
      <c r="A85" s="278"/>
      <c r="B85" s="278"/>
      <c r="C85" s="293"/>
      <c r="D85" s="278"/>
      <c r="E85" s="278"/>
    </row>
    <row r="86" spans="1:5" ht="39.950000000000003" customHeight="1" x14ac:dyDescent="0.25">
      <c r="A86" s="278"/>
      <c r="B86" s="278"/>
      <c r="C86" s="293"/>
      <c r="D86" s="278"/>
      <c r="E86" s="278"/>
    </row>
    <row r="87" spans="1:5" ht="39.950000000000003" customHeight="1" x14ac:dyDescent="0.25">
      <c r="A87" s="278"/>
      <c r="B87" s="278"/>
      <c r="C87" s="293"/>
      <c r="D87" s="278"/>
      <c r="E87" s="278"/>
    </row>
    <row r="88" spans="1:5" ht="39.950000000000003" customHeight="1" x14ac:dyDescent="0.25">
      <c r="A88" s="278"/>
      <c r="B88" s="278"/>
      <c r="C88" s="293"/>
      <c r="D88" s="278"/>
      <c r="E88" s="278"/>
    </row>
    <row r="89" spans="1:5" ht="39.950000000000003" customHeight="1" x14ac:dyDescent="0.25">
      <c r="A89" s="278"/>
      <c r="B89" s="278"/>
      <c r="C89" s="293"/>
      <c r="D89" s="278"/>
      <c r="E89" s="278"/>
    </row>
    <row r="90" spans="1:5" ht="39.950000000000003" customHeight="1" x14ac:dyDescent="0.25">
      <c r="A90" s="278"/>
      <c r="B90" s="278"/>
      <c r="C90" s="293"/>
      <c r="D90" s="278"/>
      <c r="E90" s="278"/>
    </row>
    <row r="91" spans="1:5" ht="39.950000000000003" customHeight="1" x14ac:dyDescent="0.25">
      <c r="A91" s="278"/>
      <c r="B91" s="278"/>
      <c r="C91" s="293"/>
      <c r="D91" s="278"/>
      <c r="E91" s="278"/>
    </row>
    <row r="92" spans="1:5" ht="39.950000000000003" customHeight="1" x14ac:dyDescent="0.25">
      <c r="A92" s="278"/>
      <c r="B92" s="278"/>
      <c r="C92" s="293"/>
      <c r="D92" s="278"/>
      <c r="E92" s="278"/>
    </row>
    <row r="93" spans="1:5" ht="39.950000000000003" customHeight="1" x14ac:dyDescent="0.25">
      <c r="A93" s="278"/>
      <c r="B93" s="278"/>
      <c r="C93" s="293"/>
      <c r="D93" s="278"/>
      <c r="E93" s="278"/>
    </row>
    <row r="94" spans="1:5" ht="39.950000000000003" customHeight="1" x14ac:dyDescent="0.25">
      <c r="A94" s="278"/>
      <c r="B94" s="278"/>
      <c r="C94" s="293"/>
      <c r="D94" s="278"/>
      <c r="E94" s="278"/>
    </row>
    <row r="95" spans="1:5" ht="39.950000000000003" customHeight="1" x14ac:dyDescent="0.25">
      <c r="A95" s="278"/>
      <c r="B95" s="278"/>
      <c r="C95" s="293"/>
      <c r="D95" s="278"/>
      <c r="E95" s="278"/>
    </row>
    <row r="96" spans="1:5" ht="39.950000000000003" customHeight="1" x14ac:dyDescent="0.25">
      <c r="A96" s="278"/>
      <c r="B96" s="278"/>
      <c r="C96" s="293"/>
      <c r="D96" s="278"/>
      <c r="E96" s="278"/>
    </row>
    <row r="97" spans="1:5" ht="39.950000000000003" customHeight="1" x14ac:dyDescent="0.25">
      <c r="A97" s="278"/>
      <c r="B97" s="278"/>
      <c r="C97" s="293"/>
      <c r="D97" s="278"/>
      <c r="E97" s="278"/>
    </row>
    <row r="98" spans="1:5" ht="39.950000000000003" customHeight="1" x14ac:dyDescent="0.25">
      <c r="A98" s="278"/>
      <c r="B98" s="278"/>
      <c r="C98" s="293"/>
      <c r="D98" s="278"/>
      <c r="E98" s="278"/>
    </row>
    <row r="99" spans="1:5" ht="39.950000000000003" customHeight="1" x14ac:dyDescent="0.25">
      <c r="A99" s="278"/>
      <c r="B99" s="278"/>
      <c r="C99" s="293"/>
      <c r="D99" s="278"/>
      <c r="E99" s="278"/>
    </row>
    <row r="100" spans="1:5" ht="39.950000000000003" customHeight="1" x14ac:dyDescent="0.25">
      <c r="A100" s="278"/>
      <c r="B100" s="278"/>
      <c r="C100" s="293"/>
      <c r="D100" s="278"/>
      <c r="E100" s="278"/>
    </row>
    <row r="101" spans="1:5" ht="39.950000000000003" customHeight="1" x14ac:dyDescent="0.25">
      <c r="A101" s="278"/>
      <c r="B101" s="278"/>
      <c r="C101" s="293"/>
      <c r="D101" s="278"/>
      <c r="E101" s="278"/>
    </row>
    <row r="102" spans="1:5" ht="39.950000000000003" customHeight="1" x14ac:dyDescent="0.25">
      <c r="A102" s="278"/>
      <c r="B102" s="278"/>
      <c r="C102" s="293"/>
      <c r="D102" s="278"/>
      <c r="E102" s="278"/>
    </row>
    <row r="103" spans="1:5" ht="39.950000000000003" customHeight="1" x14ac:dyDescent="0.25">
      <c r="A103" s="278"/>
      <c r="B103" s="278"/>
      <c r="C103" s="293"/>
      <c r="D103" s="278"/>
      <c r="E103" s="278"/>
    </row>
    <row r="104" spans="1:5" ht="39.950000000000003" customHeight="1" x14ac:dyDescent="0.25">
      <c r="A104" s="278"/>
      <c r="B104" s="278"/>
      <c r="C104" s="293"/>
      <c r="D104" s="278"/>
      <c r="E104" s="278"/>
    </row>
    <row r="105" spans="1:5" ht="39.950000000000003" customHeight="1" x14ac:dyDescent="0.25">
      <c r="A105" s="278"/>
      <c r="B105" s="278"/>
      <c r="C105" s="293"/>
      <c r="D105" s="278"/>
      <c r="E105" s="278"/>
    </row>
    <row r="106" spans="1:5" ht="39.950000000000003" customHeight="1" x14ac:dyDescent="0.25">
      <c r="A106" s="278"/>
      <c r="B106" s="278"/>
      <c r="C106" s="293"/>
      <c r="D106" s="278"/>
      <c r="E106" s="278"/>
    </row>
    <row r="107" spans="1:5" ht="39.950000000000003" customHeight="1" x14ac:dyDescent="0.25">
      <c r="A107" s="278"/>
      <c r="B107" s="278"/>
      <c r="C107" s="293"/>
      <c r="D107" s="278"/>
      <c r="E107" s="278"/>
    </row>
    <row r="108" spans="1:5" ht="39.950000000000003" customHeight="1" x14ac:dyDescent="0.25">
      <c r="A108" s="278"/>
      <c r="B108" s="278"/>
      <c r="C108" s="293"/>
      <c r="D108" s="278"/>
      <c r="E108" s="278"/>
    </row>
    <row r="109" spans="1:5" ht="39.950000000000003" customHeight="1" x14ac:dyDescent="0.25">
      <c r="A109" s="278"/>
      <c r="B109" s="278"/>
      <c r="C109" s="293"/>
      <c r="D109" s="278"/>
      <c r="E109" s="278"/>
    </row>
    <row r="110" spans="1:5" ht="39.950000000000003" customHeight="1" x14ac:dyDescent="0.25">
      <c r="A110" s="278"/>
      <c r="B110" s="278"/>
      <c r="C110" s="293"/>
      <c r="D110" s="278"/>
      <c r="E110" s="278"/>
    </row>
    <row r="111" spans="1:5" ht="39.950000000000003" customHeight="1" x14ac:dyDescent="0.25">
      <c r="A111" s="278"/>
      <c r="B111" s="278"/>
      <c r="C111" s="293"/>
      <c r="D111" s="278"/>
      <c r="E111" s="278"/>
    </row>
    <row r="112" spans="1:5" ht="39.950000000000003" customHeight="1" x14ac:dyDescent="0.25">
      <c r="A112" s="278"/>
      <c r="B112" s="278"/>
      <c r="C112" s="293"/>
      <c r="D112" s="278"/>
      <c r="E112" s="278"/>
    </row>
    <row r="113" spans="1:5" ht="39.950000000000003" customHeight="1" x14ac:dyDescent="0.25">
      <c r="A113" s="278"/>
      <c r="B113" s="278"/>
      <c r="C113" s="293"/>
      <c r="D113" s="278"/>
      <c r="E113" s="278"/>
    </row>
    <row r="114" spans="1:5" ht="39.950000000000003" customHeight="1" x14ac:dyDescent="0.25">
      <c r="A114" s="278"/>
      <c r="B114" s="278"/>
      <c r="C114" s="293"/>
      <c r="D114" s="278"/>
      <c r="E114" s="278"/>
    </row>
    <row r="115" spans="1:5" ht="39.950000000000003" customHeight="1" x14ac:dyDescent="0.25">
      <c r="A115" s="278"/>
      <c r="B115" s="278"/>
      <c r="C115" s="293"/>
      <c r="D115" s="278"/>
      <c r="E115" s="278"/>
    </row>
    <row r="116" spans="1:5" ht="39.950000000000003" customHeight="1" x14ac:dyDescent="0.25">
      <c r="A116" s="278"/>
      <c r="B116" s="278"/>
      <c r="C116" s="293"/>
      <c r="D116" s="278"/>
      <c r="E116" s="278"/>
    </row>
    <row r="117" spans="1:5" ht="39.950000000000003" customHeight="1" x14ac:dyDescent="0.25">
      <c r="A117" s="278"/>
      <c r="B117" s="278"/>
      <c r="C117" s="293"/>
      <c r="D117" s="278"/>
      <c r="E117" s="278"/>
    </row>
    <row r="118" spans="1:5" ht="39.950000000000003" customHeight="1" x14ac:dyDescent="0.25">
      <c r="A118" s="278"/>
      <c r="B118" s="278"/>
      <c r="C118" s="293"/>
      <c r="D118" s="278"/>
      <c r="E118" s="278"/>
    </row>
    <row r="119" spans="1:5" ht="39.950000000000003" customHeight="1" x14ac:dyDescent="0.25">
      <c r="A119" s="278"/>
      <c r="B119" s="278"/>
      <c r="C119" s="293"/>
      <c r="D119" s="278"/>
      <c r="E119" s="278"/>
    </row>
    <row r="120" spans="1:5" ht="39.950000000000003" customHeight="1" x14ac:dyDescent="0.25">
      <c r="A120" s="278"/>
      <c r="B120" s="278"/>
      <c r="C120" s="293"/>
      <c r="D120" s="278"/>
      <c r="E120" s="278"/>
    </row>
    <row r="121" spans="1:5" ht="39.950000000000003" customHeight="1" x14ac:dyDescent="0.25">
      <c r="A121" s="278"/>
      <c r="B121" s="278"/>
      <c r="C121" s="293"/>
      <c r="D121" s="278"/>
      <c r="E121" s="278"/>
    </row>
    <row r="122" spans="1:5" ht="39.950000000000003" customHeight="1" x14ac:dyDescent="0.25">
      <c r="A122" s="278"/>
      <c r="B122" s="278"/>
      <c r="C122" s="293"/>
      <c r="D122" s="278"/>
      <c r="E122" s="278"/>
    </row>
    <row r="123" spans="1:5" ht="39.950000000000003" customHeight="1" x14ac:dyDescent="0.25">
      <c r="A123" s="278"/>
      <c r="B123" s="278"/>
      <c r="C123" s="293"/>
      <c r="D123" s="278"/>
      <c r="E123" s="278"/>
    </row>
    <row r="124" spans="1:5" ht="39.950000000000003" customHeight="1" x14ac:dyDescent="0.25">
      <c r="A124" s="278"/>
      <c r="B124" s="278"/>
      <c r="C124" s="293"/>
      <c r="D124" s="278"/>
      <c r="E124" s="278"/>
    </row>
    <row r="125" spans="1:5" ht="39.950000000000003" customHeight="1" x14ac:dyDescent="0.25">
      <c r="A125" s="278"/>
      <c r="B125" s="278"/>
      <c r="C125" s="293"/>
      <c r="D125" s="278"/>
      <c r="E125" s="278"/>
    </row>
    <row r="126" spans="1:5" ht="39.950000000000003" customHeight="1" x14ac:dyDescent="0.25">
      <c r="A126" s="278"/>
      <c r="B126" s="278"/>
      <c r="C126" s="293"/>
      <c r="D126" s="278"/>
      <c r="E126" s="278"/>
    </row>
    <row r="127" spans="1:5" ht="39.950000000000003" customHeight="1" x14ac:dyDescent="0.25">
      <c r="A127" s="278"/>
      <c r="B127" s="278"/>
      <c r="C127" s="293"/>
      <c r="D127" s="278"/>
      <c r="E127" s="278"/>
    </row>
    <row r="128" spans="1:5" ht="39.950000000000003" customHeight="1" x14ac:dyDescent="0.25">
      <c r="A128" s="278"/>
      <c r="B128" s="278"/>
      <c r="C128" s="293"/>
      <c r="D128" s="278"/>
      <c r="E128" s="278"/>
    </row>
    <row r="129" spans="1:5" ht="39.950000000000003" customHeight="1" x14ac:dyDescent="0.25">
      <c r="A129" s="278"/>
      <c r="B129" s="278"/>
      <c r="C129" s="293"/>
      <c r="D129" s="278"/>
      <c r="E129" s="278"/>
    </row>
    <row r="130" spans="1:5" ht="39.950000000000003" customHeight="1" x14ac:dyDescent="0.25">
      <c r="A130" s="278"/>
      <c r="B130" s="278"/>
      <c r="C130" s="293"/>
      <c r="D130" s="278"/>
      <c r="E130" s="278"/>
    </row>
    <row r="131" spans="1:5" ht="39.950000000000003" customHeight="1" x14ac:dyDescent="0.25">
      <c r="A131" s="278"/>
      <c r="B131" s="278"/>
      <c r="C131" s="293"/>
      <c r="D131" s="278"/>
      <c r="E131" s="278"/>
    </row>
    <row r="132" spans="1:5" ht="39.950000000000003" customHeight="1" x14ac:dyDescent="0.25">
      <c r="A132" s="278"/>
      <c r="B132" s="278"/>
      <c r="C132" s="293"/>
      <c r="D132" s="278"/>
      <c r="E132" s="278"/>
    </row>
    <row r="133" spans="1:5" ht="39.950000000000003" customHeight="1" x14ac:dyDescent="0.25">
      <c r="A133" s="278"/>
      <c r="B133" s="278"/>
      <c r="C133" s="293"/>
      <c r="D133" s="278"/>
      <c r="E133" s="278"/>
    </row>
    <row r="134" spans="1:5" ht="39.950000000000003" customHeight="1" x14ac:dyDescent="0.25">
      <c r="A134" s="278"/>
      <c r="B134" s="278"/>
      <c r="C134" s="293"/>
      <c r="D134" s="278"/>
      <c r="E134" s="278"/>
    </row>
    <row r="135" spans="1:5" ht="39.950000000000003" customHeight="1" x14ac:dyDescent="0.25">
      <c r="A135" s="278"/>
      <c r="B135" s="278"/>
      <c r="C135" s="293"/>
      <c r="D135" s="278"/>
      <c r="E135" s="278"/>
    </row>
    <row r="136" spans="1:5" ht="39.950000000000003" customHeight="1" x14ac:dyDescent="0.25">
      <c r="A136" s="278"/>
      <c r="B136" s="278"/>
      <c r="C136" s="293"/>
      <c r="D136" s="278"/>
      <c r="E136" s="278"/>
    </row>
    <row r="137" spans="1:5" ht="39.950000000000003" customHeight="1" x14ac:dyDescent="0.25">
      <c r="A137" s="278"/>
      <c r="B137" s="278"/>
      <c r="C137" s="293"/>
      <c r="D137" s="278"/>
      <c r="E137" s="278"/>
    </row>
    <row r="138" spans="1:5" ht="39.950000000000003" customHeight="1" x14ac:dyDescent="0.25">
      <c r="A138" s="278"/>
      <c r="B138" s="278"/>
      <c r="C138" s="293"/>
      <c r="D138" s="278"/>
      <c r="E138" s="278"/>
    </row>
    <row r="139" spans="1:5" ht="39.950000000000003" customHeight="1" x14ac:dyDescent="0.25">
      <c r="A139" s="278"/>
      <c r="B139" s="278"/>
      <c r="C139" s="293"/>
      <c r="D139" s="278"/>
      <c r="E139" s="278"/>
    </row>
    <row r="140" spans="1:5" ht="39.950000000000003" customHeight="1" x14ac:dyDescent="0.25">
      <c r="A140" s="278"/>
      <c r="B140" s="278"/>
      <c r="C140" s="293"/>
      <c r="D140" s="278"/>
      <c r="E140" s="278"/>
    </row>
    <row r="141" spans="1:5" ht="39.950000000000003" customHeight="1" x14ac:dyDescent="0.25">
      <c r="A141" s="278"/>
      <c r="B141" s="278"/>
      <c r="C141" s="293"/>
      <c r="D141" s="278"/>
      <c r="E141" s="278"/>
    </row>
    <row r="142" spans="1:5" ht="39.950000000000003" customHeight="1" x14ac:dyDescent="0.25">
      <c r="A142" s="278"/>
      <c r="B142" s="278"/>
      <c r="C142" s="293"/>
      <c r="D142" s="278"/>
      <c r="E142" s="278"/>
    </row>
    <row r="143" spans="1:5" ht="39.950000000000003" customHeight="1" x14ac:dyDescent="0.25">
      <c r="A143" s="278"/>
      <c r="B143" s="278"/>
      <c r="C143" s="293"/>
      <c r="D143" s="278"/>
      <c r="E143" s="278"/>
    </row>
    <row r="144" spans="1:5" ht="39.950000000000003" customHeight="1" x14ac:dyDescent="0.25">
      <c r="A144" s="278"/>
      <c r="B144" s="278"/>
      <c r="C144" s="293"/>
      <c r="D144" s="278"/>
      <c r="E144" s="278"/>
    </row>
    <row r="145" spans="1:5" ht="39.950000000000003" customHeight="1" x14ac:dyDescent="0.25">
      <c r="A145" s="278"/>
      <c r="B145" s="278"/>
      <c r="C145" s="293"/>
      <c r="D145" s="278"/>
      <c r="E145" s="278"/>
    </row>
    <row r="146" spans="1:5" ht="39.950000000000003" customHeight="1" x14ac:dyDescent="0.25">
      <c r="A146" s="278"/>
      <c r="B146" s="278"/>
      <c r="C146" s="293"/>
      <c r="D146" s="278"/>
      <c r="E146" s="278"/>
    </row>
    <row r="147" spans="1:5" ht="39.950000000000003" customHeight="1" x14ac:dyDescent="0.25">
      <c r="A147" s="278"/>
      <c r="B147" s="278"/>
      <c r="C147" s="293"/>
      <c r="D147" s="278"/>
      <c r="E147" s="278"/>
    </row>
    <row r="148" spans="1:5" ht="39.950000000000003" customHeight="1" x14ac:dyDescent="0.25">
      <c r="A148" s="278"/>
      <c r="B148" s="278"/>
      <c r="C148" s="293"/>
      <c r="D148" s="278"/>
      <c r="E148" s="278"/>
    </row>
    <row r="149" spans="1:5" ht="39.950000000000003" customHeight="1" x14ac:dyDescent="0.25">
      <c r="A149" s="278"/>
      <c r="B149" s="278"/>
      <c r="C149" s="293"/>
      <c r="D149" s="278"/>
      <c r="E149" s="278"/>
    </row>
    <row r="150" spans="1:5" ht="39.950000000000003" customHeight="1" x14ac:dyDescent="0.25">
      <c r="A150" s="278"/>
      <c r="B150" s="278"/>
      <c r="C150" s="293"/>
      <c r="D150" s="278"/>
      <c r="E150" s="278"/>
    </row>
    <row r="151" spans="1:5" ht="39.950000000000003" customHeight="1" x14ac:dyDescent="0.25">
      <c r="A151" s="278"/>
      <c r="B151" s="278"/>
      <c r="C151" s="293"/>
      <c r="D151" s="278"/>
      <c r="E151" s="278"/>
    </row>
    <row r="152" spans="1:5" ht="39.950000000000003" customHeight="1" x14ac:dyDescent="0.25">
      <c r="A152" s="278"/>
      <c r="B152" s="278"/>
      <c r="C152" s="293"/>
      <c r="D152" s="278"/>
      <c r="E152" s="278"/>
    </row>
    <row r="153" spans="1:5" ht="39.950000000000003" customHeight="1" x14ac:dyDescent="0.25">
      <c r="A153" s="278"/>
      <c r="B153" s="278"/>
      <c r="C153" s="293"/>
      <c r="D153" s="278"/>
      <c r="E153" s="278"/>
    </row>
    <row r="154" spans="1:5" ht="39.950000000000003" customHeight="1" x14ac:dyDescent="0.25">
      <c r="A154" s="278"/>
      <c r="B154" s="278"/>
      <c r="C154" s="293"/>
      <c r="D154" s="278"/>
      <c r="E154" s="278"/>
    </row>
    <row r="155" spans="1:5" ht="39.950000000000003" customHeight="1" x14ac:dyDescent="0.25">
      <c r="A155" s="278"/>
      <c r="B155" s="278"/>
      <c r="C155" s="293"/>
      <c r="D155" s="278"/>
      <c r="E155" s="278"/>
    </row>
    <row r="156" spans="1:5" ht="39.950000000000003" customHeight="1" x14ac:dyDescent="0.25">
      <c r="A156" s="278"/>
      <c r="B156" s="278"/>
      <c r="C156" s="293"/>
      <c r="D156" s="278"/>
      <c r="E156" s="278"/>
    </row>
    <row r="157" spans="1:5" ht="39.950000000000003" customHeight="1" x14ac:dyDescent="0.25">
      <c r="A157" s="278"/>
      <c r="B157" s="278"/>
      <c r="C157" s="293"/>
      <c r="D157" s="278"/>
      <c r="E157" s="278"/>
    </row>
    <row r="158" spans="1:5" ht="39.950000000000003" customHeight="1" x14ac:dyDescent="0.25">
      <c r="A158" s="278"/>
      <c r="B158" s="278"/>
      <c r="C158" s="293"/>
      <c r="D158" s="278"/>
      <c r="E158" s="278"/>
    </row>
    <row r="159" spans="1:5" ht="39.950000000000003" customHeight="1" x14ac:dyDescent="0.25">
      <c r="A159" s="278"/>
      <c r="B159" s="278"/>
      <c r="C159" s="293"/>
      <c r="D159" s="278"/>
      <c r="E159" s="278"/>
    </row>
    <row r="160" spans="1:5" ht="39.950000000000003" customHeight="1" x14ac:dyDescent="0.25">
      <c r="A160" s="278"/>
      <c r="B160" s="278"/>
      <c r="C160" s="293"/>
      <c r="D160" s="278"/>
      <c r="E160" s="278"/>
    </row>
    <row r="161" spans="1:5" ht="39.950000000000003" customHeight="1" x14ac:dyDescent="0.25">
      <c r="A161" s="278"/>
      <c r="B161" s="278"/>
      <c r="C161" s="293"/>
      <c r="D161" s="278"/>
      <c r="E161" s="278"/>
    </row>
    <row r="162" spans="1:5" ht="39.950000000000003" customHeight="1" x14ac:dyDescent="0.25">
      <c r="A162" s="278"/>
      <c r="B162" s="278"/>
      <c r="C162" s="293"/>
      <c r="D162" s="278"/>
      <c r="E162" s="278"/>
    </row>
    <row r="163" spans="1:5" ht="39.950000000000003" customHeight="1" x14ac:dyDescent="0.25">
      <c r="A163" s="278"/>
      <c r="B163" s="278"/>
      <c r="C163" s="293"/>
      <c r="D163" s="278"/>
      <c r="E163" s="278"/>
    </row>
    <row r="164" spans="1:5" ht="39.950000000000003" customHeight="1" x14ac:dyDescent="0.25">
      <c r="A164" s="278"/>
      <c r="B164" s="278"/>
      <c r="C164" s="293"/>
      <c r="D164" s="278"/>
      <c r="E164" s="278"/>
    </row>
    <row r="165" spans="1:5" ht="39.950000000000003" customHeight="1" x14ac:dyDescent="0.25">
      <c r="A165" s="278"/>
      <c r="B165" s="278"/>
      <c r="C165" s="293"/>
      <c r="D165" s="278"/>
      <c r="E165" s="278"/>
    </row>
    <row r="166" spans="1:5" ht="39.950000000000003" customHeight="1" x14ac:dyDescent="0.25">
      <c r="A166" s="278"/>
      <c r="B166" s="278"/>
      <c r="C166" s="293"/>
      <c r="D166" s="278"/>
      <c r="E166" s="278"/>
    </row>
    <row r="167" spans="1:5" ht="39.950000000000003" customHeight="1" x14ac:dyDescent="0.25">
      <c r="A167" s="278"/>
      <c r="B167" s="278"/>
      <c r="C167" s="293"/>
      <c r="D167" s="278"/>
      <c r="E167" s="278"/>
    </row>
  </sheetData>
  <mergeCells count="2">
    <mergeCell ref="A2:E2"/>
    <mergeCell ref="C11:D11"/>
  </mergeCells>
  <dataValidations disablePrompts="1" count="2">
    <dataValidation type="list" allowBlank="1" showInputMessage="1" sqref="D42">
      <formula1>$B$48:$B$51</formula1>
    </dataValidation>
    <dataValidation type="list" allowBlank="1" showInputMessage="1" showErrorMessage="1" sqref="D8">
      <formula1>$P$11:$P$17</formula1>
    </dataValidation>
  </dataValidations>
  <pageMargins left="0.45866141700000002" right="0.45866141700000002" top="0.30118110199999998" bottom="0.30118110199999998" header="0.31496062992126" footer="0.31496062992126"/>
  <pageSetup scale="90" orientation="portrait" r:id="rId1"/>
  <headerFooter>
    <oddFooter>&amp;L&amp;F; &amp;A&amp;RPage &amp;P of &amp;N</oddFooter>
  </headerFooter>
  <rowBreaks count="2" manualBreakCount="2">
    <brk id="22" max="4" man="1"/>
    <brk id="48"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19050</xdr:colOff>
                    <xdr:row>5</xdr:row>
                    <xdr:rowOff>180975</xdr:rowOff>
                  </from>
                  <to>
                    <xdr:col>3</xdr:col>
                    <xdr:colOff>333375</xdr:colOff>
                    <xdr:row>6</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447675</xdr:colOff>
                    <xdr:row>5</xdr:row>
                    <xdr:rowOff>180975</xdr:rowOff>
                  </from>
                  <to>
                    <xdr:col>3</xdr:col>
                    <xdr:colOff>771525</xdr:colOff>
                    <xdr:row>6</xdr:row>
                    <xdr:rowOff>247650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23</xdr:row>
                    <xdr:rowOff>304800</xdr:rowOff>
                  </from>
                  <to>
                    <xdr:col>3</xdr:col>
                    <xdr:colOff>342900</xdr:colOff>
                    <xdr:row>24</xdr:row>
                    <xdr:rowOff>257175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495300</xdr:colOff>
                    <xdr:row>23</xdr:row>
                    <xdr:rowOff>304800</xdr:rowOff>
                  </from>
                  <to>
                    <xdr:col>3</xdr:col>
                    <xdr:colOff>819150</xdr:colOff>
                    <xdr:row>24</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9525</xdr:colOff>
                    <xdr:row>18</xdr:row>
                    <xdr:rowOff>9525</xdr:rowOff>
                  </from>
                  <to>
                    <xdr:col>3</xdr:col>
                    <xdr:colOff>333375</xdr:colOff>
                    <xdr:row>18</xdr:row>
                    <xdr:rowOff>276225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485775</xdr:colOff>
                    <xdr:row>18</xdr:row>
                    <xdr:rowOff>9525</xdr:rowOff>
                  </from>
                  <to>
                    <xdr:col>3</xdr:col>
                    <xdr:colOff>809625</xdr:colOff>
                    <xdr:row>18</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9525</xdr:colOff>
                    <xdr:row>19</xdr:row>
                    <xdr:rowOff>9525</xdr:rowOff>
                  </from>
                  <to>
                    <xdr:col>3</xdr:col>
                    <xdr:colOff>333375</xdr:colOff>
                    <xdr:row>19</xdr:row>
                    <xdr:rowOff>276225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485775</xdr:colOff>
                    <xdr:row>19</xdr:row>
                    <xdr:rowOff>9525</xdr:rowOff>
                  </from>
                  <to>
                    <xdr:col>3</xdr:col>
                    <xdr:colOff>809625</xdr:colOff>
                    <xdr:row>19</xdr:row>
                    <xdr:rowOff>276225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914400</xdr:colOff>
                    <xdr:row>19</xdr:row>
                    <xdr:rowOff>9525</xdr:rowOff>
                  </from>
                  <to>
                    <xdr:col>3</xdr:col>
                    <xdr:colOff>1990725</xdr:colOff>
                    <xdr:row>19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9"/>
  <sheetViews>
    <sheetView zoomScaleNormal="100" workbookViewId="0"/>
  </sheetViews>
  <sheetFormatPr defaultRowHeight="15" customHeight="1" x14ac:dyDescent="0.25"/>
  <cols>
    <col min="1" max="1" width="36.85546875" style="34" customWidth="1"/>
    <col min="2" max="6" width="18.140625" style="34" customWidth="1"/>
    <col min="7" max="7" width="6.28515625" style="328" customWidth="1"/>
    <col min="8" max="8" width="9.140625" style="328" hidden="1" customWidth="1"/>
    <col min="9" max="11" width="9.140625" style="328" customWidth="1"/>
    <col min="12" max="140" width="9.140625" style="328"/>
    <col min="141" max="16384" width="9.140625" style="9"/>
  </cols>
  <sheetData>
    <row r="1" spans="1:140" s="331" customFormat="1" ht="30" customHeight="1" x14ac:dyDescent="0.25">
      <c r="A1" s="332" t="s">
        <v>270</v>
      </c>
      <c r="B1" s="303"/>
      <c r="C1" s="303"/>
      <c r="D1" s="303"/>
      <c r="E1" s="303"/>
      <c r="F1" s="30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3"/>
      <c r="DI1" s="333"/>
      <c r="DJ1" s="333"/>
      <c r="DK1" s="333"/>
      <c r="DL1" s="333"/>
      <c r="DM1" s="333"/>
      <c r="DN1" s="333"/>
      <c r="DO1" s="333"/>
      <c r="DP1" s="333"/>
      <c r="DQ1" s="333"/>
      <c r="DR1" s="333"/>
      <c r="DS1" s="333"/>
      <c r="DT1" s="333"/>
      <c r="DU1" s="333"/>
      <c r="DV1" s="333"/>
      <c r="DW1" s="333"/>
      <c r="DX1" s="333"/>
      <c r="DY1" s="333"/>
      <c r="DZ1" s="333"/>
      <c r="EA1" s="333"/>
      <c r="EB1" s="333"/>
      <c r="EC1" s="333"/>
      <c r="ED1" s="333"/>
      <c r="EE1" s="333"/>
      <c r="EF1" s="333"/>
      <c r="EG1" s="333"/>
      <c r="EH1" s="333"/>
      <c r="EI1" s="333"/>
      <c r="EJ1" s="333"/>
    </row>
    <row r="2" spans="1:140" ht="15" customHeight="1" x14ac:dyDescent="0.25">
      <c r="A2" s="340" t="s">
        <v>272</v>
      </c>
      <c r="B2" s="340"/>
      <c r="C2" s="340"/>
      <c r="D2" s="340"/>
      <c r="E2" s="340"/>
      <c r="F2" s="340"/>
    </row>
    <row r="3" spans="1:140" ht="15" customHeight="1" x14ac:dyDescent="0.25">
      <c r="A3" s="340"/>
      <c r="B3" s="340"/>
      <c r="C3" s="340"/>
      <c r="D3" s="340"/>
      <c r="E3" s="340"/>
      <c r="F3" s="340"/>
    </row>
    <row r="4" spans="1:140" ht="15" customHeight="1" x14ac:dyDescent="0.25">
      <c r="A4" s="317"/>
      <c r="B4" s="317"/>
      <c r="C4" s="317"/>
      <c r="D4" s="317"/>
      <c r="E4" s="317"/>
      <c r="F4" s="317"/>
    </row>
    <row r="5" spans="1:140" ht="15" customHeight="1" x14ac:dyDescent="0.25">
      <c r="A5" s="317"/>
      <c r="B5" s="317"/>
      <c r="C5" s="317" t="s">
        <v>263</v>
      </c>
      <c r="D5" s="317" t="s">
        <v>264</v>
      </c>
      <c r="E5" s="317" t="s">
        <v>265</v>
      </c>
      <c r="F5" s="317" t="s">
        <v>266</v>
      </c>
    </row>
    <row r="6" spans="1:140" s="29" customFormat="1" ht="15" customHeight="1" x14ac:dyDescent="0.25">
      <c r="A6" s="318" t="s">
        <v>256</v>
      </c>
      <c r="B6" s="319" t="s">
        <v>259</v>
      </c>
      <c r="C6" s="318"/>
      <c r="D6" s="318"/>
      <c r="E6" s="318"/>
      <c r="F6" s="318"/>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c r="BK6" s="329"/>
      <c r="BL6" s="329"/>
      <c r="BM6" s="329"/>
      <c r="BN6" s="329"/>
      <c r="BO6" s="329"/>
      <c r="BP6" s="329"/>
      <c r="BQ6" s="329"/>
      <c r="BR6" s="329"/>
      <c r="BS6" s="329"/>
      <c r="BT6" s="329"/>
      <c r="BU6" s="329"/>
      <c r="BV6" s="329"/>
      <c r="BW6" s="329"/>
      <c r="BX6" s="329"/>
      <c r="BY6" s="329"/>
      <c r="BZ6" s="329"/>
      <c r="CA6" s="329"/>
      <c r="CB6" s="329"/>
      <c r="CC6" s="329"/>
      <c r="CD6" s="329"/>
      <c r="CE6" s="329"/>
      <c r="CF6" s="329"/>
      <c r="CG6" s="329"/>
      <c r="CH6" s="329"/>
      <c r="CI6" s="329"/>
      <c r="CJ6" s="329"/>
      <c r="CK6" s="329"/>
      <c r="CL6" s="329"/>
      <c r="CM6" s="329"/>
      <c r="CN6" s="329"/>
      <c r="CO6" s="329"/>
      <c r="CP6" s="329"/>
      <c r="CQ6" s="329"/>
      <c r="CR6" s="329"/>
      <c r="CS6" s="329"/>
      <c r="CT6" s="329"/>
      <c r="CU6" s="329"/>
      <c r="CV6" s="329"/>
      <c r="CW6" s="329"/>
      <c r="CX6" s="329"/>
      <c r="CY6" s="329"/>
      <c r="CZ6" s="329"/>
      <c r="DA6" s="329"/>
      <c r="DB6" s="329"/>
      <c r="DC6" s="329"/>
      <c r="DD6" s="329"/>
      <c r="DE6" s="329"/>
      <c r="DF6" s="329"/>
      <c r="DG6" s="329"/>
      <c r="DH6" s="329"/>
      <c r="DI6" s="329"/>
      <c r="DJ6" s="329"/>
      <c r="DK6" s="329"/>
      <c r="DL6" s="329"/>
      <c r="DM6" s="329"/>
      <c r="DN6" s="329"/>
      <c r="DO6" s="329"/>
      <c r="DP6" s="329"/>
      <c r="DQ6" s="329"/>
      <c r="DR6" s="329"/>
      <c r="DS6" s="329"/>
      <c r="DT6" s="329"/>
      <c r="DU6" s="329"/>
      <c r="DV6" s="329"/>
      <c r="DW6" s="329"/>
      <c r="DX6" s="329"/>
      <c r="DY6" s="329"/>
      <c r="DZ6" s="329"/>
      <c r="EA6" s="329"/>
      <c r="EB6" s="329"/>
      <c r="EC6" s="329"/>
      <c r="ED6" s="329"/>
      <c r="EE6" s="329"/>
      <c r="EF6" s="329"/>
      <c r="EG6" s="329"/>
      <c r="EH6" s="329"/>
      <c r="EI6" s="329"/>
      <c r="EJ6" s="329"/>
    </row>
    <row r="7" spans="1:140" ht="30" customHeight="1" x14ac:dyDescent="0.25">
      <c r="A7" s="324" t="s">
        <v>257</v>
      </c>
      <c r="B7" s="325">
        <f>Coversheet!D3</f>
        <v>0</v>
      </c>
      <c r="C7" s="326"/>
      <c r="D7" s="326"/>
      <c r="E7" s="327"/>
      <c r="F7" s="327"/>
    </row>
    <row r="8" spans="1:140" ht="15" customHeight="1" x14ac:dyDescent="0.25">
      <c r="A8" s="318" t="s">
        <v>258</v>
      </c>
      <c r="B8" s="321">
        <f>Coversheet!D9</f>
        <v>0</v>
      </c>
      <c r="C8" s="320"/>
      <c r="D8" s="320"/>
      <c r="E8" s="320"/>
      <c r="F8" s="320"/>
    </row>
    <row r="9" spans="1:140" ht="15" customHeight="1" x14ac:dyDescent="0.25">
      <c r="A9" s="318" t="s">
        <v>262</v>
      </c>
      <c r="B9" s="321">
        <f>'Input Area'!T18</f>
        <v>0</v>
      </c>
      <c r="C9" s="320"/>
      <c r="D9" s="320"/>
      <c r="E9" s="320"/>
      <c r="F9" s="320"/>
    </row>
    <row r="10" spans="1:140" ht="15" customHeight="1" x14ac:dyDescent="0.25">
      <c r="A10" s="318" t="s">
        <v>260</v>
      </c>
      <c r="B10" s="322">
        <f>'Input Area'!F9</f>
        <v>0</v>
      </c>
      <c r="C10" s="323"/>
      <c r="D10" s="323"/>
      <c r="E10" s="323"/>
      <c r="F10" s="323"/>
    </row>
    <row r="11" spans="1:140" ht="15" customHeight="1" x14ac:dyDescent="0.25">
      <c r="A11" s="318" t="s">
        <v>261</v>
      </c>
      <c r="B11" s="322">
        <f>'Input Area'!I9</f>
        <v>0</v>
      </c>
      <c r="C11" s="323"/>
      <c r="D11" s="323"/>
      <c r="E11" s="323"/>
      <c r="F11" s="323"/>
    </row>
    <row r="12" spans="1:140" ht="15" customHeight="1" x14ac:dyDescent="0.25">
      <c r="A12" s="318" t="s">
        <v>274</v>
      </c>
      <c r="B12" s="322">
        <f>B10*B9</f>
        <v>0</v>
      </c>
      <c r="C12" s="323"/>
      <c r="D12" s="323"/>
      <c r="E12" s="323"/>
      <c r="F12" s="323"/>
    </row>
    <row r="13" spans="1:140" ht="15" customHeight="1" x14ac:dyDescent="0.25">
      <c r="A13" s="318" t="s">
        <v>275</v>
      </c>
      <c r="B13" s="322">
        <f>B11*B9</f>
        <v>0</v>
      </c>
      <c r="C13" s="323"/>
      <c r="D13" s="323"/>
      <c r="E13" s="323"/>
      <c r="F13" s="323"/>
    </row>
    <row r="15" spans="1:140" ht="15" customHeight="1" x14ac:dyDescent="0.25">
      <c r="D15" s="315"/>
      <c r="E15" s="315"/>
      <c r="H15" s="328" t="s">
        <v>271</v>
      </c>
    </row>
    <row r="16" spans="1:140" ht="24.75" customHeight="1" x14ac:dyDescent="0.25">
      <c r="A16" s="336" t="s">
        <v>268</v>
      </c>
      <c r="B16" s="341" t="s">
        <v>271</v>
      </c>
      <c r="C16" s="341"/>
      <c r="D16" s="316"/>
      <c r="F16" s="314"/>
      <c r="H16" s="328" t="s">
        <v>267</v>
      </c>
    </row>
    <row r="17" spans="1:140" ht="15" customHeight="1" x14ac:dyDescent="0.25">
      <c r="A17" s="314"/>
      <c r="B17" s="314"/>
      <c r="C17" s="314"/>
      <c r="D17" s="316"/>
      <c r="E17" s="316"/>
      <c r="F17" s="314"/>
      <c r="H17" s="328" t="s">
        <v>269</v>
      </c>
    </row>
    <row r="18" spans="1:140" ht="30" customHeight="1" x14ac:dyDescent="0.25">
      <c r="A18" s="342" t="str">
        <f>IF(B16="higher than existing programs","In the space below, please provide the reason for  the higher tuition rates and describe whether the institution plans to take steps to mitigate student tuition costs.","")</f>
        <v/>
      </c>
      <c r="B18" s="342"/>
      <c r="C18" s="342"/>
      <c r="D18" s="342"/>
      <c r="E18" s="342"/>
      <c r="F18" s="342"/>
      <c r="H18" s="328" t="s">
        <v>273</v>
      </c>
    </row>
    <row r="19" spans="1:140" s="35" customFormat="1" ht="144.75" customHeight="1" x14ac:dyDescent="0.25">
      <c r="A19" s="343"/>
      <c r="B19" s="343"/>
      <c r="C19" s="343"/>
      <c r="D19" s="343"/>
      <c r="E19" s="343"/>
      <c r="F19" s="343"/>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30"/>
      <c r="CO19" s="330"/>
      <c r="CP19" s="330"/>
      <c r="CQ19" s="330"/>
      <c r="CR19" s="330"/>
      <c r="CS19" s="330"/>
      <c r="CT19" s="330"/>
      <c r="CU19" s="330"/>
      <c r="CV19" s="330"/>
      <c r="CW19" s="330"/>
      <c r="CX19" s="330"/>
      <c r="CY19" s="330"/>
      <c r="CZ19" s="330"/>
      <c r="DA19" s="330"/>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c r="EC19" s="330"/>
      <c r="ED19" s="330"/>
      <c r="EE19" s="330"/>
      <c r="EF19" s="330"/>
      <c r="EG19" s="330"/>
      <c r="EH19" s="330"/>
      <c r="EI19" s="330"/>
      <c r="EJ19" s="330"/>
    </row>
  </sheetData>
  <mergeCells count="4">
    <mergeCell ref="A2:F3"/>
    <mergeCell ref="B16:C16"/>
    <mergeCell ref="A18:F18"/>
    <mergeCell ref="A19:F19"/>
  </mergeCells>
  <dataValidations count="1">
    <dataValidation type="list" allowBlank="1" showInputMessage="1" showErrorMessage="1" sqref="B16:C16">
      <formula1>$H$15:$H$18</formula1>
    </dataValidation>
  </dataValidations>
  <pageMargins left="0.7" right="0.7" top="0.75" bottom="0.75" header="0.3" footer="0.3"/>
  <pageSetup scale="70" orientation="portrait" verticalDpi="0" r:id="rId1"/>
  <headerFooter>
    <oddFooter>&amp;L&amp;F;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D92"/>
  <sheetViews>
    <sheetView workbookViewId="0"/>
  </sheetViews>
  <sheetFormatPr defaultRowHeight="15" x14ac:dyDescent="0.25"/>
  <cols>
    <col min="1" max="1" width="9.85546875" customWidth="1"/>
    <col min="2" max="2" width="11.28515625" style="10" customWidth="1"/>
    <col min="3" max="3" width="11.28515625" style="82" customWidth="1"/>
    <col min="4" max="4" width="10.140625" style="10" customWidth="1"/>
    <col min="5" max="17" width="9.28515625" customWidth="1"/>
    <col min="21" max="21" width="11" customWidth="1"/>
  </cols>
  <sheetData>
    <row r="1" spans="1:30" ht="21" x14ac:dyDescent="0.35">
      <c r="A1" s="114" t="s">
        <v>32</v>
      </c>
      <c r="B1" s="1"/>
      <c r="C1" s="1"/>
      <c r="D1" s="1"/>
      <c r="J1" s="152" t="s">
        <v>42</v>
      </c>
      <c r="K1" s="153"/>
      <c r="L1" s="154" t="s">
        <v>43</v>
      </c>
      <c r="M1" s="155"/>
      <c r="N1" s="155"/>
      <c r="O1" s="155"/>
      <c r="P1" s="155"/>
      <c r="Q1" s="155"/>
      <c r="R1" s="155"/>
      <c r="S1" s="156"/>
    </row>
    <row r="2" spans="1:30" ht="15.75" x14ac:dyDescent="0.25">
      <c r="A2" s="127"/>
      <c r="B2" s="13"/>
      <c r="C2" s="13"/>
      <c r="D2" s="13"/>
      <c r="E2" s="13"/>
      <c r="J2" s="157"/>
      <c r="K2" s="158"/>
      <c r="L2" s="159" t="s">
        <v>44</v>
      </c>
      <c r="M2" s="117"/>
      <c r="N2" s="117"/>
      <c r="O2" s="117"/>
      <c r="P2" s="117"/>
      <c r="Q2" s="117"/>
      <c r="R2" s="117"/>
      <c r="S2" s="160"/>
    </row>
    <row r="3" spans="1:30" s="10" customFormat="1" ht="16.5" thickBot="1" x14ac:dyDescent="0.3">
      <c r="C3" s="82"/>
      <c r="J3" s="161"/>
      <c r="K3" s="162"/>
      <c r="L3" s="163" t="s">
        <v>97</v>
      </c>
      <c r="M3" s="164"/>
      <c r="N3" s="164"/>
      <c r="O3" s="164"/>
      <c r="P3" s="164"/>
      <c r="Q3" s="164"/>
      <c r="R3" s="164"/>
      <c r="S3" s="165"/>
    </row>
    <row r="4" spans="1:30" ht="18.75" x14ac:dyDescent="0.3">
      <c r="A4" s="15" t="s">
        <v>128</v>
      </c>
      <c r="B4" s="15"/>
      <c r="C4" s="15"/>
      <c r="D4" s="15"/>
      <c r="I4" s="10"/>
      <c r="J4" s="14"/>
      <c r="K4" s="11"/>
      <c r="L4" s="13"/>
      <c r="M4" s="13"/>
      <c r="N4" s="13"/>
      <c r="O4" s="13"/>
      <c r="P4" s="13"/>
    </row>
    <row r="5" spans="1:30" ht="15.75" customHeight="1" x14ac:dyDescent="0.25">
      <c r="A5" s="5" t="s">
        <v>34</v>
      </c>
      <c r="B5" s="5"/>
      <c r="C5" s="5"/>
      <c r="D5" s="367">
        <f>Coversheet!D3</f>
        <v>0</v>
      </c>
      <c r="E5" s="368"/>
      <c r="F5" s="368"/>
      <c r="G5" s="368"/>
      <c r="H5" s="368"/>
      <c r="I5" s="369"/>
      <c r="J5" s="246"/>
      <c r="M5" s="11" t="s">
        <v>47</v>
      </c>
      <c r="N5" s="11"/>
      <c r="O5" s="356"/>
      <c r="P5" s="356"/>
      <c r="Q5" s="356"/>
      <c r="R5" s="356"/>
    </row>
    <row r="6" spans="1:30" s="82" customFormat="1" ht="15.75" x14ac:dyDescent="0.25">
      <c r="A6" s="5" t="s">
        <v>121</v>
      </c>
      <c r="B6" s="5"/>
      <c r="C6" s="5"/>
      <c r="D6" s="5"/>
      <c r="G6" s="166"/>
      <c r="H6" s="360">
        <v>1718</v>
      </c>
      <c r="I6" s="361"/>
      <c r="J6" s="12"/>
      <c r="M6" s="11" t="s">
        <v>50</v>
      </c>
      <c r="N6" s="11"/>
      <c r="O6" s="357"/>
      <c r="P6" s="357"/>
      <c r="Q6" t="s">
        <v>46</v>
      </c>
      <c r="R6"/>
    </row>
    <row r="7" spans="1:30" ht="15.75" x14ac:dyDescent="0.25">
      <c r="A7" t="s">
        <v>119</v>
      </c>
      <c r="G7" s="166"/>
      <c r="H7" s="362"/>
      <c r="I7" s="363"/>
      <c r="J7" s="235" t="str">
        <f>IF(H7="Replacing existing","A separate multi-yr budget of current state (for incremental purposes) is recommended","")</f>
        <v/>
      </c>
    </row>
    <row r="8" spans="1:30" x14ac:dyDescent="0.25">
      <c r="A8" t="str">
        <f>IF(H7="New","Will this program be considered Off Grant or Operating?","Are the existing courses Off Grant or Operating?")</f>
        <v>Are the existing courses Off Grant or Operating?</v>
      </c>
      <c r="G8" s="166"/>
      <c r="H8" s="362"/>
      <c r="I8" s="363"/>
      <c r="K8" s="358" t="str">
        <f>IF(H8="Off Grant","Is this program subject to PVPA 3% overhead?","")</f>
        <v/>
      </c>
      <c r="L8" s="358"/>
      <c r="M8" s="358"/>
      <c r="N8" s="358"/>
      <c r="O8" s="359"/>
      <c r="P8" s="109"/>
      <c r="Q8" s="3" t="str">
        <f>IF(H8="Off Grant","(type 'YES' or 'NO')","")</f>
        <v/>
      </c>
    </row>
    <row r="9" spans="1:30" ht="15" customHeight="1" x14ac:dyDescent="0.25">
      <c r="A9" s="115" t="s">
        <v>125</v>
      </c>
      <c r="B9" s="6"/>
      <c r="C9" s="6"/>
      <c r="D9" s="6"/>
      <c r="F9" s="120"/>
      <c r="G9" s="118" t="s">
        <v>84</v>
      </c>
      <c r="I9" s="120"/>
      <c r="J9" s="119" t="s">
        <v>83</v>
      </c>
      <c r="K9" s="116"/>
      <c r="N9" s="87"/>
      <c r="O9" s="87"/>
      <c r="P9" s="116"/>
    </row>
    <row r="10" spans="1:30" s="82" customFormat="1" x14ac:dyDescent="0.25">
      <c r="A10" s="121" t="s">
        <v>182</v>
      </c>
      <c r="B10" s="6"/>
      <c r="C10" s="6"/>
      <c r="D10" s="6"/>
      <c r="F10" s="112"/>
      <c r="G10" s="112"/>
      <c r="H10" s="87"/>
      <c r="I10" s="87"/>
      <c r="J10" s="87"/>
      <c r="K10" s="87"/>
      <c r="L10" s="85"/>
      <c r="M10" s="86"/>
      <c r="N10" s="13"/>
      <c r="O10" s="13"/>
      <c r="P10" s="13"/>
      <c r="Q10" s="85"/>
    </row>
    <row r="11" spans="1:30" s="82" customFormat="1" x14ac:dyDescent="0.25">
      <c r="A11" s="121"/>
      <c r="B11" s="6"/>
      <c r="C11" s="6"/>
      <c r="D11" s="6"/>
      <c r="F11" s="112"/>
      <c r="G11" s="112"/>
      <c r="H11" s="87"/>
      <c r="I11" s="87"/>
      <c r="J11" s="87"/>
      <c r="K11" s="87"/>
      <c r="L11" s="85"/>
      <c r="M11" s="86"/>
      <c r="N11" s="13"/>
      <c r="O11" s="13"/>
      <c r="P11" s="13"/>
      <c r="Q11" s="85"/>
    </row>
    <row r="12" spans="1:30" ht="18.75" x14ac:dyDescent="0.3">
      <c r="A12" s="15" t="s">
        <v>127</v>
      </c>
      <c r="B12" s="15"/>
      <c r="C12" s="15"/>
      <c r="D12" s="15"/>
      <c r="E12" s="8"/>
    </row>
    <row r="13" spans="1:30" ht="15.75" thickBot="1" x14ac:dyDescent="0.3">
      <c r="A13" s="122" t="s">
        <v>126</v>
      </c>
      <c r="B13" s="2"/>
      <c r="C13" s="83"/>
      <c r="E13" s="8"/>
    </row>
    <row r="14" spans="1:30" s="10" customFormat="1" ht="15.75" customHeight="1" thickBot="1" x14ac:dyDescent="0.3">
      <c r="A14" s="4"/>
      <c r="C14" s="82"/>
      <c r="E14" s="391" t="s">
        <v>45</v>
      </c>
      <c r="F14" s="392"/>
      <c r="G14" s="392"/>
      <c r="H14" s="392"/>
      <c r="I14" s="392"/>
      <c r="J14" s="392"/>
      <c r="K14" s="392"/>
      <c r="L14" s="392"/>
      <c r="M14" s="392"/>
      <c r="N14" s="392"/>
      <c r="O14" s="392"/>
      <c r="P14" s="392"/>
      <c r="Q14" s="392"/>
      <c r="R14" s="392"/>
      <c r="S14" s="393"/>
      <c r="U14" s="16"/>
      <c r="AD14" s="373"/>
    </row>
    <row r="15" spans="1:30" s="10" customFormat="1" ht="15.75" customHeight="1" thickBot="1" x14ac:dyDescent="0.3">
      <c r="A15" s="4"/>
      <c r="B15" s="113"/>
      <c r="C15" s="113"/>
      <c r="D15" s="151" t="s">
        <v>149</v>
      </c>
      <c r="E15" s="364">
        <f>IF(ISBLANK(H6),"",H6)</f>
        <v>1718</v>
      </c>
      <c r="F15" s="365"/>
      <c r="G15" s="366"/>
      <c r="H15" s="364">
        <f>IF(ISBLANK(H6),"",(E15+101))</f>
        <v>1819</v>
      </c>
      <c r="I15" s="365"/>
      <c r="J15" s="366"/>
      <c r="K15" s="364">
        <f>IF(ISBLANK(H6),"",(H15+101))</f>
        <v>1920</v>
      </c>
      <c r="L15" s="365"/>
      <c r="M15" s="366"/>
      <c r="N15" s="364">
        <f>IF(ISBLANK(H6),"",(K15+101))</f>
        <v>2021</v>
      </c>
      <c r="O15" s="365"/>
      <c r="P15" s="366"/>
      <c r="Q15" s="364">
        <f>IF(ISBLANK(H6),"",(N15+101))</f>
        <v>2122</v>
      </c>
      <c r="R15" s="365"/>
      <c r="S15" s="366"/>
      <c r="T15" s="374" t="s">
        <v>134</v>
      </c>
      <c r="AD15" s="373"/>
    </row>
    <row r="16" spans="1:30" s="82" customFormat="1" ht="15.75" customHeight="1" thickBot="1" x14ac:dyDescent="0.3">
      <c r="A16" s="4"/>
      <c r="B16" s="380" t="s">
        <v>137</v>
      </c>
      <c r="C16" s="380" t="s">
        <v>139</v>
      </c>
      <c r="D16" s="378" t="s">
        <v>138</v>
      </c>
      <c r="E16" s="131" t="s">
        <v>124</v>
      </c>
      <c r="F16" s="132" t="s">
        <v>122</v>
      </c>
      <c r="G16" s="132" t="s">
        <v>123</v>
      </c>
      <c r="H16" s="131" t="s">
        <v>124</v>
      </c>
      <c r="I16" s="132" t="s">
        <v>122</v>
      </c>
      <c r="J16" s="132" t="s">
        <v>123</v>
      </c>
      <c r="K16" s="131" t="s">
        <v>124</v>
      </c>
      <c r="L16" s="132" t="s">
        <v>122</v>
      </c>
      <c r="M16" s="132" t="s">
        <v>123</v>
      </c>
      <c r="N16" s="131" t="s">
        <v>124</v>
      </c>
      <c r="O16" s="132" t="s">
        <v>122</v>
      </c>
      <c r="P16" s="132" t="s">
        <v>123</v>
      </c>
      <c r="Q16" s="131" t="s">
        <v>124</v>
      </c>
      <c r="R16" s="132" t="s">
        <v>122</v>
      </c>
      <c r="S16" s="132" t="s">
        <v>123</v>
      </c>
      <c r="T16" s="374"/>
      <c r="AD16" s="108"/>
    </row>
    <row r="17" spans="1:30" s="17" customFormat="1" ht="15.75" thickBot="1" x14ac:dyDescent="0.3">
      <c r="A17" s="139" t="s">
        <v>93</v>
      </c>
      <c r="B17" s="381"/>
      <c r="C17" s="381"/>
      <c r="D17" s="379"/>
      <c r="E17" s="133">
        <f>IFERROR((ROUND(E15,-2)/100),"")</f>
        <v>17</v>
      </c>
      <c r="F17" s="134">
        <f>IFERROR(E17,"")</f>
        <v>17</v>
      </c>
      <c r="G17" s="133">
        <f>IFERROR(E17+1,"")</f>
        <v>18</v>
      </c>
      <c r="H17" s="133">
        <f>IFERROR(G17,"")</f>
        <v>18</v>
      </c>
      <c r="I17" s="134">
        <f>IFERROR(H17,"")</f>
        <v>18</v>
      </c>
      <c r="J17" s="133">
        <f>IFERROR(I17+1,"")</f>
        <v>19</v>
      </c>
      <c r="K17" s="133">
        <f>IFERROR(J17,"")</f>
        <v>19</v>
      </c>
      <c r="L17" s="134">
        <f>IFERROR(K17,"")</f>
        <v>19</v>
      </c>
      <c r="M17" s="133">
        <f>IFERROR(L17+1,"")</f>
        <v>20</v>
      </c>
      <c r="N17" s="133">
        <f>IFERROR(M17,"")</f>
        <v>20</v>
      </c>
      <c r="O17" s="134">
        <f>IFERROR(N17,"")</f>
        <v>20</v>
      </c>
      <c r="P17" s="133">
        <f>IFERROR(O17+1,"")</f>
        <v>21</v>
      </c>
      <c r="Q17" s="133">
        <f>IFERROR(P17,"")</f>
        <v>21</v>
      </c>
      <c r="R17" s="134">
        <f>IFERROR(Q17,"")</f>
        <v>21</v>
      </c>
      <c r="S17" s="133">
        <f>IFERROR(R17+1,"")</f>
        <v>22</v>
      </c>
      <c r="T17" s="374"/>
    </row>
    <row r="18" spans="1:30" s="10" customFormat="1" x14ac:dyDescent="0.25">
      <c r="A18" s="167">
        <v>1</v>
      </c>
      <c r="B18" s="128"/>
      <c r="C18" s="128"/>
      <c r="D18" s="51">
        <v>0</v>
      </c>
      <c r="E18" s="142"/>
      <c r="F18" s="143"/>
      <c r="G18" s="144"/>
      <c r="H18" s="142"/>
      <c r="I18" s="143"/>
      <c r="J18" s="144"/>
      <c r="K18" s="142"/>
      <c r="L18" s="143"/>
      <c r="M18" s="144"/>
      <c r="N18" s="142"/>
      <c r="O18" s="143"/>
      <c r="P18" s="144"/>
      <c r="Q18" s="142"/>
      <c r="R18" s="143"/>
      <c r="S18" s="144"/>
      <c r="T18" s="200">
        <f>SUM(E18:S18)</f>
        <v>0</v>
      </c>
      <c r="AD18" s="17"/>
    </row>
    <row r="19" spans="1:30" s="10" customFormat="1" x14ac:dyDescent="0.25">
      <c r="A19" s="167">
        <v>2</v>
      </c>
      <c r="B19" s="128"/>
      <c r="C19" s="128"/>
      <c r="D19" s="51">
        <v>0</v>
      </c>
      <c r="E19" s="145"/>
      <c r="F19" s="146"/>
      <c r="G19" s="147"/>
      <c r="H19" s="145"/>
      <c r="I19" s="146"/>
      <c r="J19" s="147"/>
      <c r="K19" s="145"/>
      <c r="L19" s="146"/>
      <c r="M19" s="147"/>
      <c r="N19" s="145"/>
      <c r="O19" s="146"/>
      <c r="P19" s="147"/>
      <c r="Q19" s="145"/>
      <c r="R19" s="146"/>
      <c r="S19" s="147"/>
      <c r="T19" s="200">
        <f t="shared" ref="T19:T26" si="0">SUM(E19:S19)</f>
        <v>0</v>
      </c>
      <c r="AD19" s="17"/>
    </row>
    <row r="20" spans="1:30" s="10" customFormat="1" x14ac:dyDescent="0.25">
      <c r="A20" s="167">
        <v>3</v>
      </c>
      <c r="B20" s="128"/>
      <c r="C20" s="128"/>
      <c r="D20" s="51">
        <v>0</v>
      </c>
      <c r="E20" s="145"/>
      <c r="F20" s="146"/>
      <c r="G20" s="147"/>
      <c r="H20" s="145"/>
      <c r="I20" s="146"/>
      <c r="J20" s="147"/>
      <c r="K20" s="145"/>
      <c r="L20" s="146"/>
      <c r="M20" s="147"/>
      <c r="N20" s="145"/>
      <c r="O20" s="146"/>
      <c r="P20" s="147"/>
      <c r="Q20" s="145"/>
      <c r="R20" s="146"/>
      <c r="S20" s="147"/>
      <c r="T20" s="200">
        <f t="shared" si="0"/>
        <v>0</v>
      </c>
      <c r="AD20" s="17"/>
    </row>
    <row r="21" spans="1:30" s="10" customFormat="1" x14ac:dyDescent="0.25">
      <c r="A21" s="167">
        <v>4</v>
      </c>
      <c r="B21" s="128"/>
      <c r="C21" s="128"/>
      <c r="D21" s="51">
        <v>0</v>
      </c>
      <c r="E21" s="145"/>
      <c r="F21" s="146"/>
      <c r="G21" s="147"/>
      <c r="H21" s="145"/>
      <c r="I21" s="146"/>
      <c r="J21" s="147"/>
      <c r="K21" s="145"/>
      <c r="L21" s="146"/>
      <c r="M21" s="147"/>
      <c r="N21" s="145"/>
      <c r="O21" s="146"/>
      <c r="P21" s="147"/>
      <c r="Q21" s="145"/>
      <c r="R21" s="146"/>
      <c r="S21" s="147"/>
      <c r="T21" s="200">
        <f t="shared" si="0"/>
        <v>0</v>
      </c>
      <c r="AD21" s="17"/>
    </row>
    <row r="22" spans="1:30" s="10" customFormat="1" x14ac:dyDescent="0.25">
      <c r="A22" s="167">
        <v>5</v>
      </c>
      <c r="B22" s="128"/>
      <c r="C22" s="128"/>
      <c r="D22" s="51">
        <v>0</v>
      </c>
      <c r="E22" s="145"/>
      <c r="F22" s="146"/>
      <c r="G22" s="147"/>
      <c r="H22" s="145"/>
      <c r="I22" s="146"/>
      <c r="J22" s="147"/>
      <c r="K22" s="145"/>
      <c r="L22" s="146"/>
      <c r="M22" s="147"/>
      <c r="N22" s="145"/>
      <c r="O22" s="146"/>
      <c r="P22" s="147"/>
      <c r="Q22" s="145"/>
      <c r="R22" s="146"/>
      <c r="S22" s="147"/>
      <c r="T22" s="200">
        <f t="shared" si="0"/>
        <v>0</v>
      </c>
      <c r="AD22" s="84"/>
    </row>
    <row r="23" spans="1:30" s="82" customFormat="1" x14ac:dyDescent="0.25">
      <c r="A23" s="167">
        <v>6</v>
      </c>
      <c r="B23" s="128"/>
      <c r="C23" s="128"/>
      <c r="D23" s="51">
        <v>0</v>
      </c>
      <c r="E23" s="145"/>
      <c r="F23" s="146"/>
      <c r="G23" s="147"/>
      <c r="H23" s="145"/>
      <c r="I23" s="146"/>
      <c r="J23" s="147"/>
      <c r="K23" s="145"/>
      <c r="L23" s="146"/>
      <c r="M23" s="147"/>
      <c r="N23" s="145"/>
      <c r="O23" s="146"/>
      <c r="P23" s="147"/>
      <c r="Q23" s="145"/>
      <c r="R23" s="146"/>
      <c r="S23" s="147"/>
      <c r="T23" s="200">
        <f t="shared" si="0"/>
        <v>0</v>
      </c>
      <c r="AD23" s="17"/>
    </row>
    <row r="24" spans="1:30" s="10" customFormat="1" x14ac:dyDescent="0.25">
      <c r="A24" s="167">
        <v>7</v>
      </c>
      <c r="B24" s="128"/>
      <c r="C24" s="128"/>
      <c r="D24" s="79">
        <v>0</v>
      </c>
      <c r="E24" s="142"/>
      <c r="F24" s="143"/>
      <c r="G24" s="144"/>
      <c r="H24" s="142"/>
      <c r="I24" s="143"/>
      <c r="J24" s="144"/>
      <c r="K24" s="142"/>
      <c r="L24" s="143"/>
      <c r="M24" s="144"/>
      <c r="N24" s="142"/>
      <c r="O24" s="143"/>
      <c r="P24" s="144"/>
      <c r="Q24" s="142"/>
      <c r="R24" s="143"/>
      <c r="S24" s="144"/>
      <c r="T24" s="200">
        <f t="shared" si="0"/>
        <v>0</v>
      </c>
      <c r="AD24" s="17"/>
    </row>
    <row r="25" spans="1:30" s="10" customFormat="1" x14ac:dyDescent="0.25">
      <c r="A25" s="167">
        <v>8</v>
      </c>
      <c r="B25" s="128"/>
      <c r="C25" s="128"/>
      <c r="D25" s="51">
        <v>0</v>
      </c>
      <c r="E25" s="145"/>
      <c r="F25" s="146"/>
      <c r="G25" s="147"/>
      <c r="H25" s="145"/>
      <c r="I25" s="146"/>
      <c r="J25" s="147"/>
      <c r="K25" s="145"/>
      <c r="L25" s="146"/>
      <c r="M25" s="147"/>
      <c r="N25" s="145"/>
      <c r="O25" s="146"/>
      <c r="P25" s="147"/>
      <c r="Q25" s="145"/>
      <c r="R25" s="146"/>
      <c r="S25" s="147"/>
      <c r="T25" s="200">
        <f t="shared" si="0"/>
        <v>0</v>
      </c>
      <c r="AD25" s="17"/>
    </row>
    <row r="26" spans="1:30" s="10" customFormat="1" ht="15.75" thickBot="1" x14ac:dyDescent="0.3">
      <c r="A26" s="168">
        <v>9</v>
      </c>
      <c r="B26" s="129"/>
      <c r="C26" s="129"/>
      <c r="D26" s="52">
        <v>0</v>
      </c>
      <c r="E26" s="148"/>
      <c r="F26" s="149"/>
      <c r="G26" s="150"/>
      <c r="H26" s="148"/>
      <c r="I26" s="149"/>
      <c r="J26" s="150"/>
      <c r="K26" s="148"/>
      <c r="L26" s="149"/>
      <c r="M26" s="150"/>
      <c r="N26" s="148"/>
      <c r="O26" s="149"/>
      <c r="P26" s="150"/>
      <c r="Q26" s="148"/>
      <c r="R26" s="149"/>
      <c r="S26" s="150"/>
      <c r="T26" s="200">
        <f t="shared" si="0"/>
        <v>0</v>
      </c>
    </row>
    <row r="27" spans="1:30" s="10" customFormat="1" x14ac:dyDescent="0.25">
      <c r="A27" s="130" t="s">
        <v>129</v>
      </c>
      <c r="B27" s="7"/>
      <c r="C27" s="7"/>
      <c r="E27" s="8"/>
    </row>
    <row r="28" spans="1:30" s="10" customFormat="1" x14ac:dyDescent="0.25">
      <c r="A28" s="7"/>
      <c r="B28" s="7"/>
      <c r="C28" s="7"/>
      <c r="D28" s="7"/>
      <c r="E28" s="8"/>
    </row>
    <row r="29" spans="1:30" s="10" customFormat="1" ht="18.75" x14ac:dyDescent="0.3">
      <c r="A29" s="15" t="s">
        <v>196</v>
      </c>
      <c r="B29" s="7"/>
      <c r="C29" s="7"/>
      <c r="D29" s="7"/>
      <c r="E29" s="8"/>
    </row>
    <row r="30" spans="1:30" ht="15.75" thickBot="1" x14ac:dyDescent="0.3">
      <c r="A30" s="122" t="s">
        <v>161</v>
      </c>
      <c r="C30" s="27"/>
    </row>
    <row r="31" spans="1:30" s="10" customFormat="1" ht="15.75" thickBot="1" x14ac:dyDescent="0.3">
      <c r="A31" s="18"/>
      <c r="C31" s="375">
        <f>E15</f>
        <v>1718</v>
      </c>
      <c r="D31" s="376"/>
      <c r="E31" s="377"/>
      <c r="F31" s="375">
        <f>H15</f>
        <v>1819</v>
      </c>
      <c r="G31" s="376"/>
      <c r="H31" s="377"/>
      <c r="I31" s="375">
        <f>K15</f>
        <v>1920</v>
      </c>
      <c r="J31" s="376"/>
      <c r="K31" s="377"/>
      <c r="L31" s="375">
        <f>N15</f>
        <v>2021</v>
      </c>
      <c r="M31" s="376"/>
      <c r="N31" s="377"/>
      <c r="O31" s="375">
        <f>Q15</f>
        <v>2122</v>
      </c>
      <c r="P31" s="376"/>
      <c r="Q31" s="377"/>
      <c r="R31" s="66" t="s">
        <v>166</v>
      </c>
    </row>
    <row r="32" spans="1:30" ht="45.75" thickBot="1" x14ac:dyDescent="0.3">
      <c r="A32" s="192" t="s">
        <v>35</v>
      </c>
      <c r="B32" s="179"/>
      <c r="C32" s="21" t="s">
        <v>163</v>
      </c>
      <c r="D32" s="190" t="s">
        <v>162</v>
      </c>
      <c r="E32" s="191" t="s">
        <v>160</v>
      </c>
      <c r="F32" s="21" t="s">
        <v>163</v>
      </c>
      <c r="G32" s="190" t="s">
        <v>162</v>
      </c>
      <c r="H32" s="191" t="s">
        <v>160</v>
      </c>
      <c r="I32" s="21" t="s">
        <v>163</v>
      </c>
      <c r="J32" s="190" t="s">
        <v>162</v>
      </c>
      <c r="K32" s="191" t="s">
        <v>160</v>
      </c>
      <c r="L32" s="21" t="s">
        <v>163</v>
      </c>
      <c r="M32" s="190" t="s">
        <v>162</v>
      </c>
      <c r="N32" s="191" t="s">
        <v>160</v>
      </c>
      <c r="O32" s="21" t="s">
        <v>163</v>
      </c>
      <c r="P32" s="190" t="s">
        <v>162</v>
      </c>
      <c r="Q32" s="191" t="s">
        <v>160</v>
      </c>
      <c r="R32" s="350" t="s">
        <v>179</v>
      </c>
      <c r="S32" s="351"/>
      <c r="T32" s="352"/>
    </row>
    <row r="33" spans="1:20" x14ac:dyDescent="0.25">
      <c r="A33" s="87" t="s">
        <v>37</v>
      </c>
      <c r="B33" s="125"/>
      <c r="C33" s="19"/>
      <c r="D33" s="183">
        <f>C33*8</f>
        <v>0</v>
      </c>
      <c r="E33" s="197">
        <f>IF(ISBLANK(C33),0,C33*VLOOKUP($C$31,'$ Data (view only)'!$A$2:$L$15,5))</f>
        <v>0</v>
      </c>
      <c r="F33" s="19"/>
      <c r="G33" s="23"/>
      <c r="H33" s="197">
        <f>IF(ISBLANK(F33),0,F33*VLOOKUP($F$31,'$ Data (view only)'!$A$2:$L$15,5))</f>
        <v>0</v>
      </c>
      <c r="I33" s="19"/>
      <c r="J33" s="23"/>
      <c r="K33" s="197">
        <f>IF(ISBLANK(I33),0,I33*VLOOKUP($I$31,'$ Data (view only)'!$A$2:$L$15,5))</f>
        <v>0</v>
      </c>
      <c r="L33" s="19"/>
      <c r="M33" s="23"/>
      <c r="N33" s="197">
        <f>IF(ISBLANK(L33),0,L33*VLOOKUP($L$31,'$ Data (view only)'!$A$2:$L$15,5))</f>
        <v>0</v>
      </c>
      <c r="O33" s="19"/>
      <c r="P33" s="23"/>
      <c r="Q33" s="197">
        <f>IF(ISBLANK(O33),0,O33*VLOOKUP($O$31,'$ Data (view only)'!$A$2:$L$15,5))</f>
        <v>0</v>
      </c>
      <c r="R33" s="353"/>
      <c r="S33" s="354"/>
      <c r="T33" s="355"/>
    </row>
    <row r="34" spans="1:20" x14ac:dyDescent="0.25">
      <c r="A34" s="87" t="s">
        <v>38</v>
      </c>
      <c r="B34" s="125"/>
      <c r="C34" s="19"/>
      <c r="D34" s="183">
        <v>0</v>
      </c>
      <c r="E34" s="197">
        <f>IF(ISBLANK(C34),0,C34*VLOOKUP($C$31,'$ Data (view only)'!$A$2:$L$15,6))</f>
        <v>0</v>
      </c>
      <c r="F34" s="19"/>
      <c r="G34" s="24"/>
      <c r="H34" s="197">
        <f>IF(ISBLANK(F34),0,F34*VLOOKUP($F$31,'$ Data (view only)'!$A$2:$L$15,6))</f>
        <v>0</v>
      </c>
      <c r="I34" s="19"/>
      <c r="J34" s="24"/>
      <c r="K34" s="197">
        <f>IF(ISBLANK(I34),0,I34*VLOOKUP($I$31,'$ Data (view only)'!$A$2:$L$15,6))</f>
        <v>0</v>
      </c>
      <c r="L34" s="19"/>
      <c r="M34" s="24"/>
      <c r="N34" s="197">
        <f>IF(ISBLANK(L34),0,L34*VLOOKUP($L$31,'$ Data (view only)'!$A$2:$L$15,6))</f>
        <v>0</v>
      </c>
      <c r="O34" s="19"/>
      <c r="P34" s="24"/>
      <c r="Q34" s="197">
        <f>IF(ISBLANK(O34),0,O34*VLOOKUP($O$31,'$ Data (view only)'!$A$2:$L$15,6))</f>
        <v>0</v>
      </c>
      <c r="R34" s="347"/>
      <c r="S34" s="348"/>
      <c r="T34" s="349"/>
    </row>
    <row r="35" spans="1:20" x14ac:dyDescent="0.25">
      <c r="A35" s="87" t="s">
        <v>169</v>
      </c>
      <c r="B35" s="125"/>
      <c r="C35" s="19"/>
      <c r="D35" s="183">
        <v>0</v>
      </c>
      <c r="E35" s="197">
        <f>IF(ISBLANK(C35),0,C35*VLOOKUP($C$31,'$ Data (view only)'!$A$2:$L$15,7))</f>
        <v>0</v>
      </c>
      <c r="F35" s="19"/>
      <c r="G35" s="24"/>
      <c r="H35" s="197">
        <f>IF(ISBLANK(F35),0,F35*VLOOKUP($F$31,'$ Data (view only)'!$A$2:$L$15,7))</f>
        <v>0</v>
      </c>
      <c r="I35" s="19"/>
      <c r="J35" s="24"/>
      <c r="K35" s="197">
        <f>IF(ISBLANK(I35),0,I35*VLOOKUP($I$31,'$ Data (view only)'!$A$2:$L$15,7))</f>
        <v>0</v>
      </c>
      <c r="L35" s="19"/>
      <c r="M35" s="24"/>
      <c r="N35" s="197">
        <f>IF(ISBLANK(L35),0,L35*VLOOKUP($L$31,'$ Data (view only)'!$A$2:$L$15,7))</f>
        <v>0</v>
      </c>
      <c r="O35" s="19"/>
      <c r="P35" s="24"/>
      <c r="Q35" s="197">
        <f>IF(ISBLANK(O35),0,O35*VLOOKUP($O$31,'$ Data (view only)'!$A$2:$L$15,7))</f>
        <v>0</v>
      </c>
      <c r="R35" s="347"/>
      <c r="S35" s="348"/>
      <c r="T35" s="349"/>
    </row>
    <row r="36" spans="1:20" s="82" customFormat="1" x14ac:dyDescent="0.25">
      <c r="A36" s="87" t="s">
        <v>170</v>
      </c>
      <c r="B36" s="125"/>
      <c r="C36" s="19"/>
      <c r="D36" s="183">
        <v>0</v>
      </c>
      <c r="E36" s="197">
        <f>IF(ISBLANK(C36),0,C36*VLOOKUP($C$31,'$ Data (view only)'!$A$2:$L$15,8))</f>
        <v>0</v>
      </c>
      <c r="F36" s="19"/>
      <c r="G36" s="24"/>
      <c r="H36" s="197">
        <f>IF(ISBLANK(F36),0,F36*VLOOKUP($F$31,'$ Data (view only)'!$A$2:$L$15,8))</f>
        <v>0</v>
      </c>
      <c r="I36" s="19"/>
      <c r="J36" s="24"/>
      <c r="K36" s="197">
        <f>IF(ISBLANK(I36),0,I36*VLOOKUP($I$31,'$ Data (view only)'!$A$2:$L$15,8))</f>
        <v>0</v>
      </c>
      <c r="L36" s="19"/>
      <c r="M36" s="24"/>
      <c r="N36" s="197">
        <f>IF(ISBLANK(L36),0,L36*VLOOKUP($L$31,'$ Data (view only)'!$A$2:$L$15,8))</f>
        <v>0</v>
      </c>
      <c r="O36" s="19"/>
      <c r="P36" s="24"/>
      <c r="Q36" s="197">
        <f>IF(ISBLANK(O36),0,O36*VLOOKUP($O$31,'$ Data (view only)'!$A$2:$L$15,8))</f>
        <v>0</v>
      </c>
      <c r="R36" s="347"/>
      <c r="S36" s="348"/>
      <c r="T36" s="349"/>
    </row>
    <row r="37" spans="1:20" x14ac:dyDescent="0.25">
      <c r="A37" s="87" t="s">
        <v>40</v>
      </c>
      <c r="B37" s="125" t="s">
        <v>151</v>
      </c>
      <c r="C37" s="19"/>
      <c r="D37" s="183">
        <v>0</v>
      </c>
      <c r="E37" s="197">
        <f>IF(ISBLANK(C37),0,C37*VLOOKUP($C$31,'$ Data (view only)'!$A$2:$L$15,9))</f>
        <v>0</v>
      </c>
      <c r="F37" s="19"/>
      <c r="G37" s="24"/>
      <c r="H37" s="197">
        <f>IF(ISBLANK(F37),0,F37*VLOOKUP($F$31,'$ Data (view only)'!$A$2:$L$15,9))</f>
        <v>0</v>
      </c>
      <c r="I37" s="19"/>
      <c r="J37" s="24"/>
      <c r="K37" s="197">
        <f>IF(ISBLANK(I37),0,I37*VLOOKUP($I$31,'$ Data (view only)'!$A$2:$L$15,9))</f>
        <v>0</v>
      </c>
      <c r="L37" s="19"/>
      <c r="M37" s="24"/>
      <c r="N37" s="197">
        <f>IF(ISBLANK(L37),0,L37*VLOOKUP($L$31,'$ Data (view only)'!$A$2:$L$15,9))</f>
        <v>0</v>
      </c>
      <c r="O37" s="19"/>
      <c r="P37" s="24"/>
      <c r="Q37" s="197">
        <f>IF(ISBLANK(O37),0,O37*VLOOKUP($O$31,'$ Data (view only)'!$A$2:$L$15,9))</f>
        <v>0</v>
      </c>
      <c r="R37" s="347"/>
      <c r="S37" s="348"/>
      <c r="T37" s="349"/>
    </row>
    <row r="38" spans="1:20" x14ac:dyDescent="0.25">
      <c r="A38" s="87" t="s">
        <v>41</v>
      </c>
      <c r="B38" s="125" t="s">
        <v>150</v>
      </c>
      <c r="C38" s="19"/>
      <c r="D38" s="183">
        <v>0</v>
      </c>
      <c r="E38" s="197">
        <f>IF(ISBLANK(C38),0,C38*VLOOKUP($C$31,'$ Data (view only)'!$A$2:$L$15,10))</f>
        <v>0</v>
      </c>
      <c r="F38" s="19"/>
      <c r="G38" s="25"/>
      <c r="H38" s="197">
        <f>IF(ISBLANK(F38),0,F38*VLOOKUP($F$31,'$ Data (view only)'!$A$2:$L$15,10))</f>
        <v>0</v>
      </c>
      <c r="I38" s="19"/>
      <c r="J38" s="25"/>
      <c r="K38" s="197">
        <f>IF(ISBLANK(I38),0,I38*VLOOKUP($I$31,'$ Data (view only)'!$A$2:$L$15,10))</f>
        <v>0</v>
      </c>
      <c r="L38" s="19"/>
      <c r="M38" s="25"/>
      <c r="N38" s="197">
        <f>IF(ISBLANK(L38),0,L38*VLOOKUP($L$31,'$ Data (view only)'!$A$2:$L$15,10))</f>
        <v>0</v>
      </c>
      <c r="O38" s="19"/>
      <c r="P38" s="25"/>
      <c r="Q38" s="197">
        <f>IF(ISBLANK(O38),0,O38*VLOOKUP($O$31,'$ Data (view only)'!$A$2:$L$15,10))</f>
        <v>0</v>
      </c>
      <c r="R38" s="347"/>
      <c r="S38" s="348"/>
      <c r="T38" s="349"/>
    </row>
    <row r="39" spans="1:20" s="82" customFormat="1" x14ac:dyDescent="0.25">
      <c r="A39" s="87" t="s">
        <v>148</v>
      </c>
      <c r="B39" s="126" t="s">
        <v>152</v>
      </c>
      <c r="C39" s="187"/>
      <c r="D39" s="20"/>
      <c r="E39" s="197">
        <f>IF(ISBLANK(D39),0,D39*VLOOKUP($C$31,'$ Data (view only)'!$A$2:$L$15,11))</f>
        <v>0</v>
      </c>
      <c r="F39" s="187"/>
      <c r="G39" s="20"/>
      <c r="H39" s="197">
        <f>IF(ISBLANK(G39),0,G39*VLOOKUP($F$31,'$ Data (view only)'!$A$2:$L$15,11))</f>
        <v>0</v>
      </c>
      <c r="I39" s="187"/>
      <c r="J39" s="20"/>
      <c r="K39" s="197">
        <f>IF(ISBLANK(J39),0,J39*VLOOKUP($I$31,'$ Data (view only)'!$A$2:$L$15,11))</f>
        <v>0</v>
      </c>
      <c r="L39" s="187"/>
      <c r="M39" s="20"/>
      <c r="N39" s="197">
        <f>IF(ISBLANK(M39),0,M39*VLOOKUP($L$31,'$ Data (view only)'!$A$2:$L$15,11))</f>
        <v>0</v>
      </c>
      <c r="O39" s="187"/>
      <c r="P39" s="20"/>
      <c r="Q39" s="197">
        <f>IF(ISBLANK(P39),0,P39*VLOOKUP($O$31,'$ Data (view only)'!$A$2:$L$15,11))</f>
        <v>0</v>
      </c>
      <c r="R39" s="347"/>
      <c r="S39" s="348"/>
      <c r="T39" s="349"/>
    </row>
    <row r="40" spans="1:20" ht="15.75" thickBot="1" x14ac:dyDescent="0.3">
      <c r="A40" s="87" t="s">
        <v>148</v>
      </c>
      <c r="B40" s="126" t="s">
        <v>153</v>
      </c>
      <c r="C40" s="186"/>
      <c r="D40" s="20"/>
      <c r="E40" s="198">
        <f>IF(ISBLANK(D40),0,D40*VLOOKUP($C$31,'$ Data (view only)'!$A$2:$L$15,12))</f>
        <v>0</v>
      </c>
      <c r="F40" s="186"/>
      <c r="G40" s="20"/>
      <c r="H40" s="198">
        <f>IF(ISBLANK(G40),0,G40*VLOOKUP($F$31,'$ Data (view only)'!$A$2:$L$15,12))</f>
        <v>0</v>
      </c>
      <c r="I40" s="186"/>
      <c r="J40" s="20"/>
      <c r="K40" s="198">
        <f>IF(ISBLANK(J40),0,J40*VLOOKUP($I$31,'$ Data (view only)'!$A$2:$L$15,12))</f>
        <v>0</v>
      </c>
      <c r="L40" s="186"/>
      <c r="M40" s="20"/>
      <c r="N40" s="198">
        <f>IF(ISBLANK(M40),0,M40*VLOOKUP($L$31,'$ Data (view only)'!$A$2:$L$15,12))</f>
        <v>0</v>
      </c>
      <c r="O40" s="186"/>
      <c r="P40" s="20"/>
      <c r="Q40" s="198">
        <f>IF(ISBLANK(P40),0,P40*VLOOKUP($O$31,'$ Data (view only)'!$A$2:$L$15,12))</f>
        <v>0</v>
      </c>
      <c r="R40" s="347"/>
      <c r="S40" s="348"/>
      <c r="T40" s="349"/>
    </row>
    <row r="41" spans="1:20" s="82" customFormat="1" ht="15.75" thickBot="1" x14ac:dyDescent="0.3">
      <c r="A41" s="184" t="s">
        <v>215</v>
      </c>
      <c r="B41" s="185"/>
      <c r="C41" s="188">
        <f>SUM(C33:C38)</f>
        <v>0</v>
      </c>
      <c r="D41" s="189">
        <f>SUM(D33:D40)</f>
        <v>0</v>
      </c>
      <c r="E41" s="199">
        <f>SUM(E33:E40)</f>
        <v>0</v>
      </c>
      <c r="F41" s="188">
        <f>SUM(F33:F38)</f>
        <v>0</v>
      </c>
      <c r="G41" s="189">
        <f>SUM(G33:G40)</f>
        <v>0</v>
      </c>
      <c r="H41" s="199">
        <f>SUM(H33:H40)</f>
        <v>0</v>
      </c>
      <c r="I41" s="188">
        <f>SUM(I33:I38)</f>
        <v>0</v>
      </c>
      <c r="J41" s="189">
        <f>SUM(J33:J40)</f>
        <v>0</v>
      </c>
      <c r="K41" s="199">
        <f>SUM(K33:K40)</f>
        <v>0</v>
      </c>
      <c r="L41" s="188">
        <f>SUM(L33:L38)</f>
        <v>0</v>
      </c>
      <c r="M41" s="189">
        <f>SUM(M33:M40)</f>
        <v>0</v>
      </c>
      <c r="N41" s="199">
        <f>SUM(N33:N40)</f>
        <v>0</v>
      </c>
      <c r="O41" s="188">
        <f>SUM(O33:O38)</f>
        <v>0</v>
      </c>
      <c r="P41" s="189">
        <f>SUM(P33:P40)</f>
        <v>0</v>
      </c>
      <c r="Q41" s="199">
        <f>SUM(Q33:Q40)</f>
        <v>0</v>
      </c>
    </row>
    <row r="42" spans="1:20" ht="15.75" thickTop="1" x14ac:dyDescent="0.25">
      <c r="B42" s="117"/>
      <c r="M42" s="3"/>
    </row>
    <row r="43" spans="1:20" ht="19.5" thickBot="1" x14ac:dyDescent="0.35">
      <c r="A43" s="15" t="s">
        <v>130</v>
      </c>
      <c r="B43" s="2"/>
      <c r="C43" s="83"/>
      <c r="D43" s="2"/>
    </row>
    <row r="44" spans="1:20" ht="15.75" thickBot="1" x14ac:dyDescent="0.3">
      <c r="A44" s="394" t="s">
        <v>131</v>
      </c>
      <c r="B44" s="395"/>
      <c r="C44" s="396"/>
      <c r="D44" s="251" t="s">
        <v>203</v>
      </c>
      <c r="E44" s="26">
        <f>E15</f>
        <v>1718</v>
      </c>
      <c r="F44" s="26">
        <f>H15</f>
        <v>1819</v>
      </c>
      <c r="G44" s="26">
        <f>K15</f>
        <v>1920</v>
      </c>
      <c r="H44" s="26">
        <f>N15</f>
        <v>2021</v>
      </c>
      <c r="I44" s="26">
        <f>Q15</f>
        <v>2122</v>
      </c>
      <c r="J44" s="382" t="s">
        <v>140</v>
      </c>
      <c r="K44" s="383"/>
      <c r="L44" s="383"/>
      <c r="M44" s="383"/>
      <c r="N44" s="383"/>
      <c r="O44" s="383"/>
      <c r="P44" s="383"/>
      <c r="Q44" s="383"/>
      <c r="R44" s="383"/>
      <c r="S44" s="383"/>
      <c r="T44" s="384"/>
    </row>
    <row r="45" spans="1:20" x14ac:dyDescent="0.25">
      <c r="A45" s="397" t="s">
        <v>56</v>
      </c>
      <c r="B45" s="398"/>
      <c r="C45" s="399"/>
      <c r="D45" s="253">
        <f>VLOOKUP(A45,'Obj Data (view only)'!$A$2:$B$9,2,2)</f>
        <v>785</v>
      </c>
      <c r="E45" s="203"/>
      <c r="F45" s="203"/>
      <c r="G45" s="203"/>
      <c r="H45" s="203"/>
      <c r="I45" s="203"/>
      <c r="J45" s="247"/>
      <c r="K45" s="247"/>
      <c r="L45" s="247"/>
      <c r="M45" s="247"/>
      <c r="N45" s="247"/>
      <c r="O45" s="247"/>
      <c r="P45" s="247"/>
      <c r="Q45" s="247"/>
      <c r="R45" s="247"/>
      <c r="S45" s="247"/>
      <c r="T45" s="248"/>
    </row>
    <row r="46" spans="1:20" x14ac:dyDescent="0.25">
      <c r="A46" s="344" t="s">
        <v>55</v>
      </c>
      <c r="B46" s="345"/>
      <c r="C46" s="346"/>
      <c r="D46" s="252">
        <f>VLOOKUP(A46,'Obj Data (view only)'!$A$2:$B$9,2,2)</f>
        <v>784</v>
      </c>
      <c r="E46" s="203"/>
      <c r="F46" s="203"/>
      <c r="G46" s="203"/>
      <c r="H46" s="203"/>
      <c r="I46" s="203"/>
      <c r="J46" s="249"/>
      <c r="K46" s="249"/>
      <c r="L46" s="249"/>
      <c r="M46" s="249"/>
      <c r="N46" s="249"/>
      <c r="O46" s="249"/>
      <c r="P46" s="249"/>
      <c r="Q46" s="249"/>
      <c r="R46" s="249"/>
      <c r="S46" s="249"/>
      <c r="T46" s="250"/>
    </row>
    <row r="47" spans="1:20" x14ac:dyDescent="0.25">
      <c r="A47" s="344" t="s">
        <v>57</v>
      </c>
      <c r="B47" s="345"/>
      <c r="C47" s="346"/>
      <c r="D47" s="252">
        <f>VLOOKUP(A47,'Obj Data (view only)'!$A$2:$B$9,2,2)</f>
        <v>790</v>
      </c>
      <c r="E47" s="203"/>
      <c r="F47" s="203"/>
      <c r="G47" s="203"/>
      <c r="H47" s="203"/>
      <c r="I47" s="203"/>
      <c r="J47" s="249"/>
      <c r="K47" s="249"/>
      <c r="L47" s="249"/>
      <c r="M47" s="249"/>
      <c r="N47" s="249"/>
      <c r="O47" s="249"/>
      <c r="P47" s="249"/>
      <c r="Q47" s="249"/>
      <c r="R47" s="249"/>
      <c r="S47" s="249"/>
      <c r="T47" s="250"/>
    </row>
    <row r="48" spans="1:20" s="10" customFormat="1" x14ac:dyDescent="0.25">
      <c r="A48" s="344" t="s">
        <v>5</v>
      </c>
      <c r="B48" s="345"/>
      <c r="C48" s="346"/>
      <c r="D48" s="252">
        <f>VLOOKUP(A48,'Obj Data (view only)'!$A$2:$B$9,2,2)</f>
        <v>720</v>
      </c>
      <c r="E48" s="203"/>
      <c r="F48" s="203"/>
      <c r="G48" s="203"/>
      <c r="H48" s="203"/>
      <c r="I48" s="203"/>
      <c r="J48" s="249"/>
      <c r="K48" s="249"/>
      <c r="L48" s="249"/>
      <c r="M48" s="249"/>
      <c r="N48" s="249"/>
      <c r="O48" s="249"/>
      <c r="P48" s="249"/>
      <c r="Q48" s="249"/>
      <c r="R48" s="249"/>
      <c r="S48" s="249"/>
      <c r="T48" s="250"/>
    </row>
    <row r="49" spans="1:20" x14ac:dyDescent="0.25">
      <c r="A49" s="344" t="s">
        <v>6</v>
      </c>
      <c r="B49" s="345"/>
      <c r="C49" s="346"/>
      <c r="D49" s="252">
        <f>VLOOKUP(A49,'Obj Data (view only)'!$A$2:$B$9,2,2)</f>
        <v>722</v>
      </c>
      <c r="E49" s="203"/>
      <c r="F49" s="203"/>
      <c r="G49" s="203"/>
      <c r="H49" s="203"/>
      <c r="I49" s="203"/>
      <c r="J49" s="249"/>
      <c r="K49" s="249"/>
      <c r="L49" s="249"/>
      <c r="M49" s="249"/>
      <c r="N49" s="249"/>
      <c r="O49" s="249"/>
      <c r="P49" s="249"/>
      <c r="Q49" s="249"/>
      <c r="R49" s="249"/>
      <c r="S49" s="249"/>
      <c r="T49" s="250"/>
    </row>
    <row r="50" spans="1:20" x14ac:dyDescent="0.25">
      <c r="A50" s="344" t="s">
        <v>72</v>
      </c>
      <c r="B50" s="345"/>
      <c r="C50" s="346"/>
      <c r="D50" s="252">
        <f>VLOOKUP(A50,'Obj Data (view only)'!$A$2:$B$9,2,2)</f>
        <v>760</v>
      </c>
      <c r="E50" s="203"/>
      <c r="F50" s="203"/>
      <c r="G50" s="203"/>
      <c r="H50" s="203"/>
      <c r="I50" s="203"/>
      <c r="J50" s="249"/>
      <c r="K50" s="249"/>
      <c r="L50" s="249"/>
      <c r="M50" s="249"/>
      <c r="N50" s="249"/>
      <c r="O50" s="249"/>
      <c r="P50" s="249"/>
      <c r="Q50" s="249"/>
      <c r="R50" s="249"/>
      <c r="S50" s="249"/>
      <c r="T50" s="250"/>
    </row>
    <row r="51" spans="1:20" x14ac:dyDescent="0.25">
      <c r="A51" s="344" t="s">
        <v>8</v>
      </c>
      <c r="B51" s="345"/>
      <c r="C51" s="346"/>
      <c r="D51" s="252">
        <f>VLOOKUP(A51,'Obj Data (view only)'!$A$2:$B$9,2,2)</f>
        <v>799</v>
      </c>
      <c r="E51" s="203"/>
      <c r="F51" s="203"/>
      <c r="G51" s="203"/>
      <c r="H51" s="203"/>
      <c r="I51" s="203"/>
      <c r="J51" s="249"/>
      <c r="K51" s="249"/>
      <c r="L51" s="249"/>
      <c r="M51" s="249"/>
      <c r="N51" s="249"/>
      <c r="O51" s="249"/>
      <c r="P51" s="249"/>
      <c r="Q51" s="249"/>
      <c r="R51" s="249"/>
      <c r="S51" s="249"/>
      <c r="T51" s="250"/>
    </row>
    <row r="52" spans="1:20" s="10" customFormat="1" x14ac:dyDescent="0.25">
      <c r="A52" s="88" t="s">
        <v>81</v>
      </c>
      <c r="B52" s="88"/>
      <c r="C52" s="88"/>
      <c r="E52" s="204">
        <f>SUM(E45:E51)</f>
        <v>0</v>
      </c>
      <c r="F52" s="204">
        <f t="shared" ref="F52:I52" si="1">SUM(F45:F51)</f>
        <v>0</v>
      </c>
      <c r="G52" s="204">
        <f t="shared" si="1"/>
        <v>0</v>
      </c>
      <c r="H52" s="204">
        <f t="shared" si="1"/>
        <v>0</v>
      </c>
      <c r="I52" s="204">
        <f t="shared" si="1"/>
        <v>0</v>
      </c>
    </row>
    <row r="54" spans="1:20" x14ac:dyDescent="0.25">
      <c r="A54" s="122" t="s">
        <v>106</v>
      </c>
      <c r="C54" s="27"/>
    </row>
    <row r="55" spans="1:20" s="82" customFormat="1" ht="15.75" thickBot="1" x14ac:dyDescent="0.3">
      <c r="A55" s="140" t="s">
        <v>135</v>
      </c>
      <c r="B55" s="27"/>
      <c r="C55" s="27"/>
    </row>
    <row r="56" spans="1:20" s="10" customFormat="1" ht="15.75" thickBot="1" x14ac:dyDescent="0.3">
      <c r="A56" s="388" t="s">
        <v>132</v>
      </c>
      <c r="B56" s="389"/>
      <c r="C56" s="390"/>
      <c r="D56" s="251" t="s">
        <v>203</v>
      </c>
      <c r="E56" s="26">
        <f>E15</f>
        <v>1718</v>
      </c>
      <c r="F56" s="26">
        <f>H15</f>
        <v>1819</v>
      </c>
      <c r="G56" s="26">
        <f>K15</f>
        <v>1920</v>
      </c>
      <c r="H56" s="26">
        <f>N15</f>
        <v>2021</v>
      </c>
      <c r="I56" s="26">
        <f>Q15</f>
        <v>2122</v>
      </c>
      <c r="J56" s="382" t="s">
        <v>141</v>
      </c>
      <c r="K56" s="383"/>
      <c r="L56" s="383"/>
      <c r="M56" s="383"/>
      <c r="N56" s="383"/>
      <c r="O56" s="383"/>
      <c r="P56" s="383"/>
      <c r="Q56" s="383"/>
      <c r="R56" s="383"/>
      <c r="S56" s="383"/>
      <c r="T56" s="384"/>
    </row>
    <row r="57" spans="1:20" x14ac:dyDescent="0.25">
      <c r="A57" s="385" t="s">
        <v>23</v>
      </c>
      <c r="B57" s="386"/>
      <c r="C57" s="387"/>
      <c r="D57" s="253">
        <f>VLOOKUP(A57,'Obj Data (view only)'!$D$2:$E$41,2,)</f>
        <v>400</v>
      </c>
      <c r="E57" s="202"/>
      <c r="F57" s="202"/>
      <c r="G57" s="202"/>
      <c r="H57" s="202"/>
      <c r="I57" s="202"/>
      <c r="J57" s="404"/>
      <c r="K57" s="405"/>
      <c r="L57" s="405"/>
      <c r="M57" s="405"/>
      <c r="N57" s="405"/>
      <c r="O57" s="405"/>
      <c r="P57" s="405"/>
      <c r="Q57" s="405"/>
      <c r="R57" s="405"/>
      <c r="S57" s="405"/>
      <c r="T57" s="406"/>
    </row>
    <row r="58" spans="1:20" x14ac:dyDescent="0.25">
      <c r="A58" s="370" t="s">
        <v>16</v>
      </c>
      <c r="B58" s="371"/>
      <c r="C58" s="372"/>
      <c r="D58" s="252">
        <f>VLOOKUP(A58,'Obj Data (view only)'!$D$2:$E$41,2,)</f>
        <v>405</v>
      </c>
      <c r="E58" s="202"/>
      <c r="F58" s="202"/>
      <c r="G58" s="202"/>
      <c r="H58" s="202"/>
      <c r="I58" s="202"/>
      <c r="J58" s="400"/>
      <c r="K58" s="401"/>
      <c r="L58" s="401"/>
      <c r="M58" s="401"/>
      <c r="N58" s="401"/>
      <c r="O58" s="401"/>
      <c r="P58" s="401"/>
      <c r="Q58" s="401"/>
      <c r="R58" s="401"/>
      <c r="S58" s="401"/>
      <c r="T58" s="402"/>
    </row>
    <row r="59" spans="1:20" x14ac:dyDescent="0.25">
      <c r="A59" s="370" t="s">
        <v>24</v>
      </c>
      <c r="B59" s="371"/>
      <c r="C59" s="372"/>
      <c r="D59" s="252">
        <f>VLOOKUP(A59,'Obj Data (view only)'!$D$2:$E$41,2,)</f>
        <v>403</v>
      </c>
      <c r="E59" s="202"/>
      <c r="F59" s="202"/>
      <c r="G59" s="202"/>
      <c r="H59" s="202"/>
      <c r="I59" s="202"/>
      <c r="J59" s="400"/>
      <c r="K59" s="401"/>
      <c r="L59" s="401"/>
      <c r="M59" s="401"/>
      <c r="N59" s="401"/>
      <c r="O59" s="401"/>
      <c r="P59" s="401"/>
      <c r="Q59" s="401"/>
      <c r="R59" s="401"/>
      <c r="S59" s="401"/>
      <c r="T59" s="402"/>
    </row>
    <row r="60" spans="1:20" x14ac:dyDescent="0.25">
      <c r="A60" s="370" t="s">
        <v>18</v>
      </c>
      <c r="B60" s="371"/>
      <c r="C60" s="372"/>
      <c r="D60" s="252">
        <f>VLOOKUP(A60,'Obj Data (view only)'!$D$2:$E$41,2,)</f>
        <v>420</v>
      </c>
      <c r="E60" s="202"/>
      <c r="F60" s="202"/>
      <c r="G60" s="202"/>
      <c r="H60" s="202"/>
      <c r="I60" s="202"/>
      <c r="J60" s="400"/>
      <c r="K60" s="401"/>
      <c r="L60" s="401"/>
      <c r="M60" s="401"/>
      <c r="N60" s="401"/>
      <c r="O60" s="401"/>
      <c r="P60" s="401"/>
      <c r="Q60" s="401"/>
      <c r="R60" s="401"/>
      <c r="S60" s="401"/>
      <c r="T60" s="402"/>
    </row>
    <row r="61" spans="1:20" x14ac:dyDescent="0.25">
      <c r="A61" s="370" t="s">
        <v>22</v>
      </c>
      <c r="B61" s="371"/>
      <c r="C61" s="372"/>
      <c r="D61" s="252">
        <f>VLOOKUP(A61,'Obj Data (view only)'!$D$2:$E$41,2,)</f>
        <v>525</v>
      </c>
      <c r="E61" s="202"/>
      <c r="F61" s="202"/>
      <c r="G61" s="202"/>
      <c r="H61" s="202"/>
      <c r="I61" s="202"/>
      <c r="J61" s="400"/>
      <c r="K61" s="401"/>
      <c r="L61" s="401"/>
      <c r="M61" s="401"/>
      <c r="N61" s="401"/>
      <c r="O61" s="401"/>
      <c r="P61" s="401"/>
      <c r="Q61" s="401"/>
      <c r="R61" s="401"/>
      <c r="S61" s="401"/>
      <c r="T61" s="402"/>
    </row>
    <row r="62" spans="1:20" x14ac:dyDescent="0.25">
      <c r="A62" s="344"/>
      <c r="B62" s="345"/>
      <c r="C62" s="346"/>
      <c r="D62" s="252" t="str">
        <f>IF(ISBLANK(A62),"",VLOOKUP(A62,'Obj Data (view only)'!$D$2:$E$41,2,))</f>
        <v/>
      </c>
      <c r="E62" s="202"/>
      <c r="F62" s="202"/>
      <c r="G62" s="202"/>
      <c r="H62" s="202"/>
      <c r="I62" s="202"/>
      <c r="J62" s="400"/>
      <c r="K62" s="401"/>
      <c r="L62" s="401"/>
      <c r="M62" s="401"/>
      <c r="N62" s="401"/>
      <c r="O62" s="401"/>
      <c r="P62" s="401"/>
      <c r="Q62" s="401"/>
      <c r="R62" s="401"/>
      <c r="S62" s="401"/>
      <c r="T62" s="402"/>
    </row>
    <row r="63" spans="1:20" x14ac:dyDescent="0.25">
      <c r="A63" s="344"/>
      <c r="B63" s="345"/>
      <c r="C63" s="346"/>
      <c r="D63" s="252" t="str">
        <f>IF(ISBLANK(A63),"",VLOOKUP(A63,'Obj Data (view only)'!$D$2:$E$41,2,))</f>
        <v/>
      </c>
      <c r="E63" s="202"/>
      <c r="F63" s="202"/>
      <c r="G63" s="202"/>
      <c r="H63" s="202"/>
      <c r="I63" s="202"/>
      <c r="J63" s="400"/>
      <c r="K63" s="401"/>
      <c r="L63" s="401"/>
      <c r="M63" s="401"/>
      <c r="N63" s="401"/>
      <c r="O63" s="401"/>
      <c r="P63" s="401"/>
      <c r="Q63" s="401"/>
      <c r="R63" s="401"/>
      <c r="S63" s="401"/>
      <c r="T63" s="402"/>
    </row>
    <row r="64" spans="1:20" x14ac:dyDescent="0.25">
      <c r="A64" s="344"/>
      <c r="B64" s="345"/>
      <c r="C64" s="346"/>
      <c r="D64" s="252" t="str">
        <f>IF(ISBLANK(A64),"",VLOOKUP(A64,'Obj Data (view only)'!$D$2:$E$41,2,))</f>
        <v/>
      </c>
      <c r="E64" s="202"/>
      <c r="F64" s="202"/>
      <c r="G64" s="202"/>
      <c r="H64" s="202"/>
      <c r="I64" s="202"/>
      <c r="J64" s="400"/>
      <c r="K64" s="401"/>
      <c r="L64" s="401"/>
      <c r="M64" s="401"/>
      <c r="N64" s="401"/>
      <c r="O64" s="401"/>
      <c r="P64" s="401"/>
      <c r="Q64" s="401"/>
      <c r="R64" s="401"/>
      <c r="S64" s="401"/>
      <c r="T64" s="402"/>
    </row>
    <row r="65" spans="1:20" x14ac:dyDescent="0.25">
      <c r="A65" s="344"/>
      <c r="B65" s="345"/>
      <c r="C65" s="346"/>
      <c r="D65" s="252" t="str">
        <f>IF(ISBLANK(A65),"",VLOOKUP(A65,'Obj Data (view only)'!$D$2:$E$41,2,))</f>
        <v/>
      </c>
      <c r="E65" s="202"/>
      <c r="F65" s="202"/>
      <c r="G65" s="202"/>
      <c r="H65" s="202"/>
      <c r="I65" s="202"/>
      <c r="J65" s="400"/>
      <c r="K65" s="401"/>
      <c r="L65" s="401"/>
      <c r="M65" s="401"/>
      <c r="N65" s="401"/>
      <c r="O65" s="401"/>
      <c r="P65" s="401"/>
      <c r="Q65" s="401"/>
      <c r="R65" s="401"/>
      <c r="S65" s="401"/>
      <c r="T65" s="402"/>
    </row>
    <row r="66" spans="1:20" x14ac:dyDescent="0.25">
      <c r="A66" s="344"/>
      <c r="B66" s="345"/>
      <c r="C66" s="346"/>
      <c r="D66" s="252" t="str">
        <f>IF(ISBLANK(A66),"",VLOOKUP(A66,'Obj Data (view only)'!$D$2:$E$41,2,))</f>
        <v/>
      </c>
      <c r="E66" s="202"/>
      <c r="F66" s="202"/>
      <c r="G66" s="202"/>
      <c r="H66" s="202"/>
      <c r="I66" s="202"/>
      <c r="J66" s="400"/>
      <c r="K66" s="401"/>
      <c r="L66" s="401"/>
      <c r="M66" s="401"/>
      <c r="N66" s="401"/>
      <c r="O66" s="401"/>
      <c r="P66" s="401"/>
      <c r="Q66" s="401"/>
      <c r="R66" s="401"/>
      <c r="S66" s="401"/>
      <c r="T66" s="402"/>
    </row>
    <row r="67" spans="1:20" x14ac:dyDescent="0.25">
      <c r="A67" s="344"/>
      <c r="B67" s="345"/>
      <c r="C67" s="346"/>
      <c r="D67" s="252" t="str">
        <f>IF(ISBLANK(A67),"",VLOOKUP(A67,'Obj Data (view only)'!$D$2:$E$41,2,))</f>
        <v/>
      </c>
      <c r="E67" s="202"/>
      <c r="F67" s="202"/>
      <c r="G67" s="202"/>
      <c r="H67" s="202"/>
      <c r="I67" s="202"/>
      <c r="J67" s="400"/>
      <c r="K67" s="401"/>
      <c r="L67" s="401"/>
      <c r="M67" s="401"/>
      <c r="N67" s="401"/>
      <c r="O67" s="401"/>
      <c r="P67" s="401"/>
      <c r="Q67" s="401"/>
      <c r="R67" s="401"/>
      <c r="S67" s="401"/>
      <c r="T67" s="402"/>
    </row>
    <row r="68" spans="1:20" x14ac:dyDescent="0.25">
      <c r="A68" s="344"/>
      <c r="B68" s="345"/>
      <c r="C68" s="346"/>
      <c r="D68" s="252" t="str">
        <f>IF(ISBLANK(A68),"",VLOOKUP(A68,'Obj Data (view only)'!$D$2:$E$41,2,))</f>
        <v/>
      </c>
      <c r="E68" s="202"/>
      <c r="F68" s="202"/>
      <c r="G68" s="202"/>
      <c r="H68" s="202"/>
      <c r="I68" s="202"/>
      <c r="J68" s="400"/>
      <c r="K68" s="401"/>
      <c r="L68" s="401"/>
      <c r="M68" s="401"/>
      <c r="N68" s="401"/>
      <c r="O68" s="401"/>
      <c r="P68" s="401"/>
      <c r="Q68" s="401"/>
      <c r="R68" s="401"/>
      <c r="S68" s="401"/>
      <c r="T68" s="402"/>
    </row>
    <row r="69" spans="1:20" x14ac:dyDescent="0.25">
      <c r="A69" s="344"/>
      <c r="B69" s="345"/>
      <c r="C69" s="346"/>
      <c r="D69" s="252" t="str">
        <f>IF(ISBLANK(A69),"",VLOOKUP(A69,'Obj Data (view only)'!$D$2:$E$41,2,))</f>
        <v/>
      </c>
      <c r="E69" s="202"/>
      <c r="F69" s="202"/>
      <c r="G69" s="202"/>
      <c r="H69" s="202"/>
      <c r="I69" s="202"/>
      <c r="J69" s="400"/>
      <c r="K69" s="401"/>
      <c r="L69" s="401"/>
      <c r="M69" s="401"/>
      <c r="N69" s="401"/>
      <c r="O69" s="401"/>
      <c r="P69" s="401"/>
      <c r="Q69" s="401"/>
      <c r="R69" s="401"/>
      <c r="S69" s="401"/>
      <c r="T69" s="402"/>
    </row>
    <row r="70" spans="1:20" x14ac:dyDescent="0.25">
      <c r="A70" s="344"/>
      <c r="B70" s="345"/>
      <c r="C70" s="346"/>
      <c r="D70" s="252" t="str">
        <f>IF(ISBLANK(A70),"",VLOOKUP(A70,'Obj Data (view only)'!$D$2:$E$41,2,))</f>
        <v/>
      </c>
      <c r="E70" s="202"/>
      <c r="F70" s="202"/>
      <c r="G70" s="202"/>
      <c r="H70" s="202"/>
      <c r="I70" s="202"/>
      <c r="J70" s="400"/>
      <c r="K70" s="401"/>
      <c r="L70" s="401"/>
      <c r="M70" s="401"/>
      <c r="N70" s="401"/>
      <c r="O70" s="401"/>
      <c r="P70" s="401"/>
      <c r="Q70" s="401"/>
      <c r="R70" s="401"/>
      <c r="S70" s="401"/>
      <c r="T70" s="402"/>
    </row>
    <row r="71" spans="1:20" x14ac:dyDescent="0.25">
      <c r="A71" s="344"/>
      <c r="B71" s="345"/>
      <c r="C71" s="346"/>
      <c r="D71" s="252" t="str">
        <f>IF(ISBLANK(A71),"",VLOOKUP(A71,'Obj Data (view only)'!$D$2:$E$41,2,))</f>
        <v/>
      </c>
      <c r="E71" s="202"/>
      <c r="F71" s="202"/>
      <c r="G71" s="202"/>
      <c r="H71" s="202"/>
      <c r="I71" s="202"/>
      <c r="J71" s="400"/>
      <c r="K71" s="401"/>
      <c r="L71" s="401"/>
      <c r="M71" s="401"/>
      <c r="N71" s="401"/>
      <c r="O71" s="401"/>
      <c r="P71" s="401"/>
      <c r="Q71" s="401"/>
      <c r="R71" s="401"/>
      <c r="S71" s="401"/>
      <c r="T71" s="402"/>
    </row>
    <row r="72" spans="1:20" x14ac:dyDescent="0.25">
      <c r="A72" s="344"/>
      <c r="B72" s="345"/>
      <c r="C72" s="346"/>
      <c r="D72" s="252" t="str">
        <f>IF(ISBLANK(A72),"",VLOOKUP(A72,'Obj Data (view only)'!$D$2:$E$41,2,))</f>
        <v/>
      </c>
      <c r="E72" s="202"/>
      <c r="F72" s="202"/>
      <c r="G72" s="202"/>
      <c r="H72" s="202"/>
      <c r="I72" s="202"/>
      <c r="J72" s="400"/>
      <c r="K72" s="401"/>
      <c r="L72" s="401"/>
      <c r="M72" s="401"/>
      <c r="N72" s="401"/>
      <c r="O72" s="401"/>
      <c r="P72" s="401"/>
      <c r="Q72" s="401"/>
      <c r="R72" s="401"/>
      <c r="S72" s="401"/>
      <c r="T72" s="402"/>
    </row>
    <row r="73" spans="1:20" x14ac:dyDescent="0.25">
      <c r="A73" s="344"/>
      <c r="B73" s="345"/>
      <c r="C73" s="346"/>
      <c r="D73" s="252" t="str">
        <f>IF(ISBLANK(A73),"",VLOOKUP(A73,'Obj Data (view only)'!$D$2:$E$41,2,))</f>
        <v/>
      </c>
      <c r="E73" s="202"/>
      <c r="F73" s="202"/>
      <c r="G73" s="202"/>
      <c r="H73" s="202"/>
      <c r="I73" s="202"/>
      <c r="J73" s="400"/>
      <c r="K73" s="401"/>
      <c r="L73" s="401"/>
      <c r="M73" s="401"/>
      <c r="N73" s="401"/>
      <c r="O73" s="401"/>
      <c r="P73" s="401"/>
      <c r="Q73" s="401"/>
      <c r="R73" s="401"/>
      <c r="S73" s="401"/>
      <c r="T73" s="402"/>
    </row>
    <row r="74" spans="1:20" x14ac:dyDescent="0.25">
      <c r="A74" s="344"/>
      <c r="B74" s="345"/>
      <c r="C74" s="346"/>
      <c r="D74" s="252" t="str">
        <f>IF(ISBLANK(A74),"",VLOOKUP(A74,'Obj Data (view only)'!$D$2:$E$41,2,))</f>
        <v/>
      </c>
      <c r="E74" s="202"/>
      <c r="F74" s="202"/>
      <c r="G74" s="202"/>
      <c r="H74" s="202"/>
      <c r="I74" s="202"/>
      <c r="J74" s="400"/>
      <c r="K74" s="401"/>
      <c r="L74" s="401"/>
      <c r="M74" s="401"/>
      <c r="N74" s="401"/>
      <c r="O74" s="401"/>
      <c r="P74" s="401"/>
      <c r="Q74" s="401"/>
      <c r="R74" s="401"/>
      <c r="S74" s="401"/>
      <c r="T74" s="402"/>
    </row>
    <row r="75" spans="1:20" s="10" customFormat="1" x14ac:dyDescent="0.25">
      <c r="A75" s="344"/>
      <c r="B75" s="345"/>
      <c r="C75" s="346"/>
      <c r="D75" s="252" t="str">
        <f>IF(ISBLANK(A75),"",VLOOKUP(A75,'Obj Data (view only)'!$D$2:$E$41,2,))</f>
        <v/>
      </c>
      <c r="E75" s="202"/>
      <c r="F75" s="202"/>
      <c r="G75" s="202"/>
      <c r="H75" s="202"/>
      <c r="I75" s="202"/>
      <c r="J75" s="400"/>
      <c r="K75" s="401"/>
      <c r="L75" s="401"/>
      <c r="M75" s="401"/>
      <c r="N75" s="401"/>
      <c r="O75" s="401"/>
      <c r="P75" s="401"/>
      <c r="Q75" s="401"/>
      <c r="R75" s="401"/>
      <c r="S75" s="401"/>
      <c r="T75" s="402"/>
    </row>
    <row r="76" spans="1:20" s="10" customFormat="1" x14ac:dyDescent="0.25">
      <c r="A76" s="344"/>
      <c r="B76" s="345"/>
      <c r="C76" s="346"/>
      <c r="D76" s="252" t="str">
        <f>IF(ISBLANK(A76),"",VLOOKUP(A76,'Obj Data (view only)'!$D$2:$E$41,2,))</f>
        <v/>
      </c>
      <c r="E76" s="202"/>
      <c r="F76" s="202"/>
      <c r="G76" s="202"/>
      <c r="H76" s="202"/>
      <c r="I76" s="202"/>
      <c r="J76" s="400"/>
      <c r="K76" s="401"/>
      <c r="L76" s="401"/>
      <c r="M76" s="401"/>
      <c r="N76" s="401"/>
      <c r="O76" s="401"/>
      <c r="P76" s="401"/>
      <c r="Q76" s="401"/>
      <c r="R76" s="401"/>
      <c r="S76" s="401"/>
      <c r="T76" s="402"/>
    </row>
    <row r="77" spans="1:20" s="10" customFormat="1" x14ac:dyDescent="0.25">
      <c r="A77" s="344"/>
      <c r="B77" s="345"/>
      <c r="C77" s="346"/>
      <c r="D77" s="252" t="str">
        <f>IF(ISBLANK(A77),"",VLOOKUP(A77,'Obj Data (view only)'!$D$2:$E$41,2,))</f>
        <v/>
      </c>
      <c r="E77" s="202"/>
      <c r="F77" s="202"/>
      <c r="G77" s="202"/>
      <c r="H77" s="202"/>
      <c r="I77" s="202"/>
      <c r="J77" s="400"/>
      <c r="K77" s="401"/>
      <c r="L77" s="401"/>
      <c r="M77" s="401"/>
      <c r="N77" s="401"/>
      <c r="O77" s="401"/>
      <c r="P77" s="401"/>
      <c r="Q77" s="401"/>
      <c r="R77" s="401"/>
      <c r="S77" s="401"/>
      <c r="T77" s="402"/>
    </row>
    <row r="78" spans="1:20" x14ac:dyDescent="0.25">
      <c r="A78" s="90" t="s">
        <v>99</v>
      </c>
      <c r="B78" s="90"/>
      <c r="C78" s="90"/>
      <c r="E78" s="204">
        <f>SUM(E57:E77)</f>
        <v>0</v>
      </c>
      <c r="F78" s="204">
        <f>SUM(F57:F77)</f>
        <v>0</v>
      </c>
      <c r="G78" s="204">
        <f>SUM(G57:G77)</f>
        <v>0</v>
      </c>
      <c r="H78" s="204">
        <f>SUM(H57:H77)</f>
        <v>0</v>
      </c>
      <c r="I78" s="204">
        <f>SUM(I57:I77)</f>
        <v>0</v>
      </c>
    </row>
    <row r="79" spans="1:20" x14ac:dyDescent="0.25">
      <c r="A79" s="89"/>
      <c r="B79" s="89"/>
      <c r="C79" s="89"/>
    </row>
    <row r="80" spans="1:20" ht="18.75" x14ac:dyDescent="0.3">
      <c r="A80" s="15" t="s">
        <v>197</v>
      </c>
    </row>
    <row r="81" spans="1:20" ht="15.75" thickBot="1" x14ac:dyDescent="0.3">
      <c r="A81" s="4" t="s">
        <v>210</v>
      </c>
    </row>
    <row r="82" spans="1:20" s="82" customFormat="1" ht="15.75" thickBot="1" x14ac:dyDescent="0.3">
      <c r="A82" s="388" t="s">
        <v>198</v>
      </c>
      <c r="B82" s="389"/>
      <c r="C82" s="389"/>
      <c r="D82" s="407" t="s">
        <v>203</v>
      </c>
      <c r="E82" s="409">
        <f>E15</f>
        <v>1718</v>
      </c>
      <c r="F82" s="409">
        <f>F31</f>
        <v>1819</v>
      </c>
      <c r="G82" s="409">
        <f>I31</f>
        <v>1920</v>
      </c>
      <c r="H82" s="409">
        <f>L31</f>
        <v>2021</v>
      </c>
      <c r="I82" s="409">
        <f>O31</f>
        <v>2122</v>
      </c>
      <c r="J82" s="411" t="s">
        <v>199</v>
      </c>
      <c r="K82" s="412"/>
      <c r="L82" s="412"/>
      <c r="M82" s="412"/>
      <c r="N82" s="412"/>
      <c r="O82" s="412"/>
      <c r="P82" s="412"/>
      <c r="Q82" s="412"/>
      <c r="R82" s="412"/>
      <c r="S82" s="412"/>
      <c r="T82" s="412"/>
    </row>
    <row r="83" spans="1:20" ht="15.75" thickBot="1" x14ac:dyDescent="0.3">
      <c r="A83" s="251" t="s">
        <v>207</v>
      </c>
      <c r="B83" s="251" t="s">
        <v>206</v>
      </c>
      <c r="C83" s="251" t="s">
        <v>208</v>
      </c>
      <c r="D83" s="408"/>
      <c r="E83" s="410"/>
      <c r="F83" s="410"/>
      <c r="G83" s="410"/>
      <c r="H83" s="410"/>
      <c r="I83" s="410"/>
      <c r="J83" s="413"/>
      <c r="K83" s="414"/>
      <c r="L83" s="414"/>
      <c r="M83" s="414"/>
      <c r="N83" s="414"/>
      <c r="O83" s="414"/>
      <c r="P83" s="414"/>
      <c r="Q83" s="414"/>
      <c r="R83" s="414"/>
      <c r="S83" s="414"/>
      <c r="T83" s="414"/>
    </row>
    <row r="84" spans="1:20" x14ac:dyDescent="0.25">
      <c r="A84" s="258"/>
      <c r="B84" s="259"/>
      <c r="C84" s="256"/>
      <c r="D84" s="253" t="str">
        <f>IF(ISBLANK(A84),"",VLOOKUP(A84,'Obj Data (view only)'!$I$1:$J$3,2,))</f>
        <v/>
      </c>
      <c r="E84" s="202"/>
      <c r="F84" s="202"/>
      <c r="G84" s="202"/>
      <c r="H84" s="202"/>
      <c r="I84" s="202"/>
      <c r="J84" s="403"/>
      <c r="K84" s="403"/>
      <c r="L84" s="403"/>
      <c r="M84" s="403"/>
      <c r="N84" s="403"/>
      <c r="O84" s="403"/>
      <c r="P84" s="403"/>
      <c r="Q84" s="403"/>
      <c r="R84" s="403"/>
      <c r="S84" s="403"/>
      <c r="T84" s="403"/>
    </row>
    <row r="85" spans="1:20" x14ac:dyDescent="0.25">
      <c r="A85" s="255"/>
      <c r="B85" s="257"/>
      <c r="C85" s="254"/>
      <c r="D85" s="253" t="str">
        <f>IF(ISBLANK(A85),"",VLOOKUP(A85,'Obj Data (view only)'!$I$1:$J$3,2,))</f>
        <v/>
      </c>
      <c r="E85" s="202"/>
      <c r="F85" s="202"/>
      <c r="G85" s="202"/>
      <c r="H85" s="202"/>
      <c r="I85" s="202"/>
      <c r="J85" s="403"/>
      <c r="K85" s="403"/>
      <c r="L85" s="403"/>
      <c r="M85" s="403"/>
      <c r="N85" s="403"/>
      <c r="O85" s="403"/>
      <c r="P85" s="403"/>
      <c r="Q85" s="403"/>
      <c r="R85" s="403"/>
      <c r="S85" s="403"/>
      <c r="T85" s="403"/>
    </row>
    <row r="86" spans="1:20" x14ac:dyDescent="0.25">
      <c r="A86" s="255"/>
      <c r="B86" s="257"/>
      <c r="C86" s="254"/>
      <c r="D86" s="253" t="str">
        <f>IF(ISBLANK(A86),"",VLOOKUP(A86,'Obj Data (view only)'!$I$1:$J$3,2,))</f>
        <v/>
      </c>
      <c r="E86" s="202"/>
      <c r="F86" s="202"/>
      <c r="G86" s="202"/>
      <c r="H86" s="202"/>
      <c r="I86" s="202"/>
      <c r="J86" s="403"/>
      <c r="K86" s="403"/>
      <c r="L86" s="403"/>
      <c r="M86" s="403"/>
      <c r="N86" s="403"/>
      <c r="O86" s="403"/>
      <c r="P86" s="403"/>
      <c r="Q86" s="403"/>
      <c r="R86" s="403"/>
      <c r="S86" s="403"/>
      <c r="T86" s="403"/>
    </row>
    <row r="87" spans="1:20" x14ac:dyDescent="0.25">
      <c r="A87" s="255"/>
      <c r="B87" s="257"/>
      <c r="C87" s="254"/>
      <c r="D87" s="253" t="str">
        <f>IF(ISBLANK(A87),"",VLOOKUP(A87,'Obj Data (view only)'!$I$1:$J$3,2,))</f>
        <v/>
      </c>
      <c r="E87" s="202"/>
      <c r="F87" s="202"/>
      <c r="G87" s="202"/>
      <c r="H87" s="202"/>
      <c r="I87" s="202"/>
      <c r="J87" s="403"/>
      <c r="K87" s="403"/>
      <c r="L87" s="403"/>
      <c r="M87" s="403"/>
      <c r="N87" s="403"/>
      <c r="O87" s="403"/>
      <c r="P87" s="403"/>
      <c r="Q87" s="403"/>
      <c r="R87" s="403"/>
      <c r="S87" s="403"/>
      <c r="T87" s="403"/>
    </row>
    <row r="88" spans="1:20" x14ac:dyDescent="0.25">
      <c r="A88" s="255"/>
      <c r="B88" s="257"/>
      <c r="C88" s="254"/>
      <c r="D88" s="253" t="str">
        <f>IF(ISBLANK(A88),"",VLOOKUP(A88,'Obj Data (view only)'!$I$1:$J$3,2,))</f>
        <v/>
      </c>
      <c r="E88" s="202"/>
      <c r="F88" s="202"/>
      <c r="G88" s="202"/>
      <c r="H88" s="202"/>
      <c r="I88" s="202"/>
      <c r="J88" s="403"/>
      <c r="K88" s="403"/>
      <c r="L88" s="403"/>
      <c r="M88" s="403"/>
      <c r="N88" s="403"/>
      <c r="O88" s="403"/>
      <c r="P88" s="403"/>
      <c r="Q88" s="403"/>
      <c r="R88" s="403"/>
      <c r="S88" s="403"/>
      <c r="T88" s="403"/>
    </row>
    <row r="89" spans="1:20" x14ac:dyDescent="0.25">
      <c r="A89" s="255"/>
      <c r="B89" s="257"/>
      <c r="C89" s="254"/>
      <c r="D89" s="253" t="str">
        <f>IF(ISBLANK(A89),"",VLOOKUP(A89,'Obj Data (view only)'!$I$1:$J$3,2,))</f>
        <v/>
      </c>
      <c r="E89" s="202"/>
      <c r="F89" s="202"/>
      <c r="G89" s="202"/>
      <c r="H89" s="202"/>
      <c r="I89" s="202"/>
      <c r="J89" s="403"/>
      <c r="K89" s="403"/>
      <c r="L89" s="403"/>
      <c r="M89" s="403"/>
      <c r="N89" s="403"/>
      <c r="O89" s="403"/>
      <c r="P89" s="403"/>
      <c r="Q89" s="403"/>
      <c r="R89" s="403"/>
      <c r="S89" s="403"/>
      <c r="T89" s="403"/>
    </row>
    <row r="90" spans="1:20" x14ac:dyDescent="0.25">
      <c r="A90" s="255"/>
      <c r="B90" s="257"/>
      <c r="C90" s="254"/>
      <c r="D90" s="253" t="str">
        <f>IF(ISBLANK(A90),"",VLOOKUP(A90,'Obj Data (view only)'!$I$1:$J$3,2,))</f>
        <v/>
      </c>
      <c r="E90" s="202"/>
      <c r="F90" s="202"/>
      <c r="G90" s="202"/>
      <c r="H90" s="202"/>
      <c r="I90" s="202"/>
      <c r="J90" s="403"/>
      <c r="K90" s="403"/>
      <c r="L90" s="403"/>
      <c r="M90" s="403"/>
      <c r="N90" s="403"/>
      <c r="O90" s="403"/>
      <c r="P90" s="403"/>
      <c r="Q90" s="403"/>
      <c r="R90" s="403"/>
      <c r="S90" s="403"/>
      <c r="T90" s="403"/>
    </row>
    <row r="91" spans="1:20" x14ac:dyDescent="0.25">
      <c r="A91" s="255"/>
      <c r="B91" s="257"/>
      <c r="C91" s="254"/>
      <c r="D91" s="253" t="str">
        <f>IF(ISBLANK(A91),"",VLOOKUP(A91,'Obj Data (view only)'!$I$1:$J$3,2,))</f>
        <v/>
      </c>
      <c r="E91" s="202"/>
      <c r="F91" s="202"/>
      <c r="G91" s="202"/>
      <c r="H91" s="202"/>
      <c r="I91" s="202"/>
      <c r="J91" s="403"/>
      <c r="K91" s="403"/>
      <c r="L91" s="403"/>
      <c r="M91" s="403"/>
      <c r="N91" s="403"/>
      <c r="O91" s="403"/>
      <c r="P91" s="403"/>
      <c r="Q91" s="403"/>
      <c r="R91" s="403"/>
      <c r="S91" s="403"/>
      <c r="T91" s="403"/>
    </row>
    <row r="92" spans="1:20" x14ac:dyDescent="0.25">
      <c r="A92" s="90" t="s">
        <v>209</v>
      </c>
      <c r="E92" s="204">
        <f>SUM(E84:E91)</f>
        <v>0</v>
      </c>
      <c r="F92" s="204">
        <f t="shared" ref="F92:I92" si="2">SUM(F84:F91)</f>
        <v>0</v>
      </c>
      <c r="G92" s="204">
        <f t="shared" si="2"/>
        <v>0</v>
      </c>
      <c r="H92" s="204">
        <f t="shared" si="2"/>
        <v>0</v>
      </c>
      <c r="I92" s="204">
        <f t="shared" si="2"/>
        <v>0</v>
      </c>
    </row>
  </sheetData>
  <mergeCells count="101">
    <mergeCell ref="J87:T87"/>
    <mergeCell ref="J88:T88"/>
    <mergeCell ref="J89:T89"/>
    <mergeCell ref="J90:T90"/>
    <mergeCell ref="J91:T91"/>
    <mergeCell ref="D82:D83"/>
    <mergeCell ref="E82:E83"/>
    <mergeCell ref="F82:F83"/>
    <mergeCell ref="G82:G83"/>
    <mergeCell ref="H82:H83"/>
    <mergeCell ref="I82:I83"/>
    <mergeCell ref="J82:T83"/>
    <mergeCell ref="J57:T57"/>
    <mergeCell ref="J58:T58"/>
    <mergeCell ref="J59:T59"/>
    <mergeCell ref="J60:T60"/>
    <mergeCell ref="J61:T61"/>
    <mergeCell ref="J62:T62"/>
    <mergeCell ref="J63:T63"/>
    <mergeCell ref="J64:T64"/>
    <mergeCell ref="J65:T65"/>
    <mergeCell ref="J66:T66"/>
    <mergeCell ref="J67:T67"/>
    <mergeCell ref="J68:T68"/>
    <mergeCell ref="J69:T69"/>
    <mergeCell ref="J70:T70"/>
    <mergeCell ref="J71:T71"/>
    <mergeCell ref="J72:T72"/>
    <mergeCell ref="J73:T73"/>
    <mergeCell ref="J74:T74"/>
    <mergeCell ref="J75:T75"/>
    <mergeCell ref="J76:T76"/>
    <mergeCell ref="J77:T77"/>
    <mergeCell ref="J84:T84"/>
    <mergeCell ref="J85:T85"/>
    <mergeCell ref="J86:T86"/>
    <mergeCell ref="A68:C68"/>
    <mergeCell ref="A69:C69"/>
    <mergeCell ref="A70:C70"/>
    <mergeCell ref="A76:C76"/>
    <mergeCell ref="A77:C77"/>
    <mergeCell ref="A82:C82"/>
    <mergeCell ref="A71:C71"/>
    <mergeCell ref="A72:C72"/>
    <mergeCell ref="A73:C73"/>
    <mergeCell ref="A74:C74"/>
    <mergeCell ref="A75:C75"/>
    <mergeCell ref="AD14:AD15"/>
    <mergeCell ref="T15:T17"/>
    <mergeCell ref="A63:C63"/>
    <mergeCell ref="O31:Q31"/>
    <mergeCell ref="D16:D17"/>
    <mergeCell ref="B16:B17"/>
    <mergeCell ref="C16:C17"/>
    <mergeCell ref="C31:E31"/>
    <mergeCell ref="F31:H31"/>
    <mergeCell ref="J44:T44"/>
    <mergeCell ref="J56:T56"/>
    <mergeCell ref="A49:C49"/>
    <mergeCell ref="A50:C50"/>
    <mergeCell ref="A51:C51"/>
    <mergeCell ref="A57:C57"/>
    <mergeCell ref="A56:C56"/>
    <mergeCell ref="A47:C47"/>
    <mergeCell ref="A48:C48"/>
    <mergeCell ref="Q15:S15"/>
    <mergeCell ref="E14:S14"/>
    <mergeCell ref="I31:K31"/>
    <mergeCell ref="L31:N31"/>
    <mergeCell ref="A44:C44"/>
    <mergeCell ref="A45:C45"/>
    <mergeCell ref="A64:C64"/>
    <mergeCell ref="A65:C65"/>
    <mergeCell ref="A66:C66"/>
    <mergeCell ref="A67:C67"/>
    <mergeCell ref="A58:C58"/>
    <mergeCell ref="A59:C59"/>
    <mergeCell ref="A60:C60"/>
    <mergeCell ref="A61:C61"/>
    <mergeCell ref="A62:C62"/>
    <mergeCell ref="O5:R5"/>
    <mergeCell ref="O6:P6"/>
    <mergeCell ref="K8:O8"/>
    <mergeCell ref="H6:I6"/>
    <mergeCell ref="H7:I7"/>
    <mergeCell ref="H8:I8"/>
    <mergeCell ref="E15:G15"/>
    <mergeCell ref="H15:J15"/>
    <mergeCell ref="K15:M15"/>
    <mergeCell ref="N15:P15"/>
    <mergeCell ref="D5:I5"/>
    <mergeCell ref="A46:C46"/>
    <mergeCell ref="R37:T37"/>
    <mergeCell ref="R38:T38"/>
    <mergeCell ref="R39:T39"/>
    <mergeCell ref="R40:T40"/>
    <mergeCell ref="R32:T32"/>
    <mergeCell ref="R33:T33"/>
    <mergeCell ref="R34:T34"/>
    <mergeCell ref="R35:T35"/>
    <mergeCell ref="R36:T36"/>
  </mergeCells>
  <dataValidations xWindow="323" yWindow="372" count="10">
    <dataValidation type="date" operator="greaterThan" allowBlank="1" showInputMessage="1" showErrorMessage="1" prompt="Enter as: DD/MM/YY" sqref="E12:E13 E27 E29">
      <formula1>41730</formula1>
    </dataValidation>
    <dataValidation type="whole" allowBlank="1" showInputMessage="1" showErrorMessage="1" prompt="A cohort is typically 35 or less." sqref="B18:C26">
      <formula1>0</formula1>
      <formula2>200</formula2>
    </dataValidation>
    <dataValidation allowBlank="1" showInputMessage="1" showErrorMessage="1" prompt="Enter the number of sections per fiscal year.  Note: a Sessional earning 8% in lieu of benefits should be limited to a maximum of 4 sections, and a Sessional earning 6% in lieu of benefits will be to a maximum of 8 sections per year." sqref="M33:M38 J33:J38 G33:G38 P33:P38 I39:I40 C39:C40 F39:F40 L39:L40 O39:O40"/>
    <dataValidation type="decimal" allowBlank="1" showInputMessage="1" showErrorMessage="1" prompt="Enter the estimated annual attrition rate for the cohort as a positive value from 0% to 100%.  eg for 20% enter as 0.2" sqref="D18:D26">
      <formula1>0</formula1>
      <formula2>1</formula2>
    </dataValidation>
    <dataValidation type="textLength" operator="lessThanOrEqual" allowBlank="1" showInputMessage="1" showErrorMessage="1" prompt="Maximum of 80 characters" sqref="O5:R5">
      <formula1>80</formula1>
    </dataValidation>
    <dataValidation type="textLength" operator="lessThanOrEqual" allowBlank="1" showInputMessage="1" showErrorMessage="1" prompt="Maximum of 50 characters." sqref="D5">
      <formula1>50</formula1>
    </dataValidation>
    <dataValidation type="whole" operator="greaterThanOrEqual" allowBlank="1" showInputMessage="1" showErrorMessage="1" promptTitle="Fiscal Year" prompt="Fiscal year begins April 1st and ends the following March 31st._x000a__x000a_Enter the 4 digit fiscal year eg. 1617" sqref="G6:I6">
      <formula1>1415</formula1>
    </dataValidation>
    <dataValidation allowBlank="1" showInputMessage="1" showErrorMessage="1" prompt="Enter the number of sections per fiscal year.  " sqref="D39:D40 G39:G40 J39:J40 M39:M40 P39:P40"/>
    <dataValidation type="decimal" allowBlank="1" showInputMessage="1" showErrorMessage="1" prompt="Input the annualized HR FTE value" sqref="C33:C34 F33:F34 I33:I34 L33:L34 O33:O34">
      <formula1>0</formula1>
      <formula2>15</formula2>
    </dataValidation>
    <dataValidation type="decimal" allowBlank="1" showInputMessage="1" showErrorMessage="1" prompt="Input the annualized HR FTE value" sqref="C35:C38 F35:F38 I35:I38 L35:L38 O35:O38">
      <formula1>0</formula1>
      <formula2>20</formula2>
    </dataValidation>
  </dataValidations>
  <pageMargins left="0.47244094488188998" right="0.35433070866141703" top="0.74803149606299202" bottom="0.74803149606299202" header="0.31496062992126" footer="0.31496062992126"/>
  <pageSetup scale="51" orientation="portrait" r:id="rId1"/>
  <headerFooter>
    <oddFooter>&amp;L&amp;F; &amp;A&amp;RPage&amp;P of &amp;N</oddFooter>
  </headerFooter>
  <colBreaks count="1" manualBreakCount="1">
    <brk id="20" max="1048575" man="1"/>
  </colBreaks>
  <ignoredErrors>
    <ignoredError sqref="T18" formulaRange="1"/>
  </ignoredErrors>
  <extLst>
    <ext xmlns:x14="http://schemas.microsoft.com/office/spreadsheetml/2009/9/main" uri="{CCE6A557-97BC-4b89-ADB6-D9C93CAAB3DF}">
      <x14:dataValidations xmlns:xm="http://schemas.microsoft.com/office/excel/2006/main" xWindow="323" yWindow="372" count="6">
        <x14:dataValidation type="list" allowBlank="1" showInputMessage="1" showErrorMessage="1">
          <x14:formula1>
            <xm:f>'Obj Data (view only)'!$G$2:$G$3</xm:f>
          </x14:formula1>
          <xm:sqref>H7</xm:sqref>
        </x14:dataValidation>
        <x14:dataValidation type="list" allowBlank="1" showInputMessage="1" showErrorMessage="1">
          <x14:formula1>
            <xm:f>'Obj Data (view only)'!$G$4:$G$5</xm:f>
          </x14:formula1>
          <xm:sqref>H8</xm:sqref>
        </x14:dataValidation>
        <x14:dataValidation type="list" allowBlank="1" showInputMessage="1" showErrorMessage="1">
          <x14:formula1>
            <xm:f>'Obj Data (view only)'!$A$3:$A$9</xm:f>
          </x14:formula1>
          <xm:sqref>A45:A51</xm:sqref>
        </x14:dataValidation>
        <x14:dataValidation type="list" allowBlank="1" showInputMessage="1" showErrorMessage="1">
          <x14:formula1>
            <xm:f>'Obj Data (view only)'!$D$3:$D$41</xm:f>
          </x14:formula1>
          <xm:sqref>A62:A77</xm:sqref>
        </x14:dataValidation>
        <x14:dataValidation type="list" allowBlank="1" showInputMessage="1" showErrorMessage="1" prompt="Will there be a transfer IN our OUT of the program cost centre?">
          <x14:formula1>
            <xm:f>'Obj Data (view only)'!$I$4:$I$5</xm:f>
          </x14:formula1>
          <xm:sqref>B84:B92</xm:sqref>
        </x14:dataValidation>
        <x14:dataValidation type="list" allowBlank="1" showInputMessage="1" showErrorMessage="1" prompt="InTERfund ex: Faculty to Foundation or Capital_x000a_InTRAfund ex: Faculty to Faculty">
          <x14:formula1>
            <xm:f>'Obj Data (view only)'!$I$2:$I$3</xm:f>
          </x14:formula1>
          <xm:sqref>A84:A91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69"/>
  <sheetViews>
    <sheetView workbookViewId="0">
      <selection activeCell="H8" sqref="H8:I8"/>
    </sheetView>
  </sheetViews>
  <sheetFormatPr defaultRowHeight="15" x14ac:dyDescent="0.25"/>
  <cols>
    <col min="1" max="1" width="10.28515625" style="10" customWidth="1"/>
    <col min="2" max="2" width="8.42578125" customWidth="1"/>
    <col min="3" max="17" width="12.28515625" customWidth="1"/>
    <col min="18" max="18" width="9.7109375" customWidth="1"/>
    <col min="19" max="20" width="9.7109375" style="82" customWidth="1"/>
  </cols>
  <sheetData>
    <row r="1" spans="1:20" ht="21" customHeight="1" x14ac:dyDescent="0.35">
      <c r="A1" s="50" t="s">
        <v>136</v>
      </c>
      <c r="F1" s="421">
        <f>IF(ISBLANK('Input Area'!D5),"",'Input Area'!D5)</f>
        <v>0</v>
      </c>
      <c r="G1" s="422"/>
      <c r="H1" s="422"/>
      <c r="I1" s="423"/>
      <c r="K1" s="236"/>
      <c r="L1" s="238"/>
      <c r="M1" s="239"/>
      <c r="N1" s="239"/>
      <c r="O1" s="239"/>
      <c r="P1" s="239"/>
      <c r="Q1" s="239"/>
    </row>
    <row r="2" spans="1:20" ht="10.5" customHeight="1" x14ac:dyDescent="0.25">
      <c r="K2" s="237"/>
      <c r="L2" s="239"/>
      <c r="M2" s="239"/>
      <c r="N2" s="239"/>
      <c r="O2" s="239"/>
      <c r="P2" s="239"/>
      <c r="Q2" s="239"/>
    </row>
    <row r="3" spans="1:20" s="10" customFormat="1" ht="15.75" thickBot="1" x14ac:dyDescent="0.3">
      <c r="A3" s="240" t="s">
        <v>190</v>
      </c>
      <c r="B3" s="240"/>
      <c r="C3" s="117"/>
      <c r="F3" s="136">
        <f>'Input Area'!F9</f>
        <v>0</v>
      </c>
      <c r="G3" s="118" t="s">
        <v>84</v>
      </c>
      <c r="H3" s="117"/>
      <c r="I3" s="135">
        <f>'Input Area'!I9</f>
        <v>0</v>
      </c>
      <c r="J3" s="119" t="s">
        <v>83</v>
      </c>
      <c r="K3" s="237"/>
      <c r="L3" s="239"/>
      <c r="M3" s="239"/>
      <c r="N3" s="239"/>
      <c r="O3" s="239"/>
      <c r="P3" s="239"/>
      <c r="Q3" s="239"/>
      <c r="S3" s="82"/>
      <c r="T3" s="82"/>
    </row>
    <row r="4" spans="1:20" s="10" customFormat="1" ht="15.75" customHeight="1" thickBot="1" x14ac:dyDescent="0.3">
      <c r="A4" s="415" t="s">
        <v>146</v>
      </c>
      <c r="B4" s="416"/>
      <c r="C4" s="365">
        <f>'Input Area'!E15</f>
        <v>1718</v>
      </c>
      <c r="D4" s="365"/>
      <c r="E4" s="366"/>
      <c r="F4" s="365">
        <f>'Input Area'!H15</f>
        <v>1819</v>
      </c>
      <c r="G4" s="365"/>
      <c r="H4" s="366"/>
      <c r="I4" s="365">
        <f>'Input Area'!K15</f>
        <v>1920</v>
      </c>
      <c r="J4" s="365"/>
      <c r="K4" s="366"/>
      <c r="L4" s="365">
        <f>'Input Area'!N15</f>
        <v>2021</v>
      </c>
      <c r="M4" s="365"/>
      <c r="N4" s="366"/>
      <c r="O4" s="365">
        <f>'Input Area'!Q15</f>
        <v>2122</v>
      </c>
      <c r="P4" s="365"/>
      <c r="Q4" s="366"/>
      <c r="S4" s="82"/>
      <c r="T4" s="82"/>
    </row>
    <row r="5" spans="1:20" s="82" customFormat="1" ht="15.75" customHeight="1" x14ac:dyDescent="0.25">
      <c r="C5" s="131" t="s">
        <v>124</v>
      </c>
      <c r="D5" s="132" t="s">
        <v>122</v>
      </c>
      <c r="E5" s="132" t="s">
        <v>123</v>
      </c>
      <c r="F5" s="131" t="s">
        <v>124</v>
      </c>
      <c r="G5" s="132" t="s">
        <v>122</v>
      </c>
      <c r="H5" s="132" t="s">
        <v>123</v>
      </c>
      <c r="I5" s="131" t="s">
        <v>124</v>
      </c>
      <c r="J5" s="132" t="s">
        <v>122</v>
      </c>
      <c r="K5" s="132" t="s">
        <v>123</v>
      </c>
      <c r="L5" s="131" t="s">
        <v>124</v>
      </c>
      <c r="M5" s="132" t="s">
        <v>122</v>
      </c>
      <c r="N5" s="132" t="s">
        <v>123</v>
      </c>
      <c r="O5" s="131" t="s">
        <v>124</v>
      </c>
      <c r="P5" s="132" t="s">
        <v>122</v>
      </c>
      <c r="Q5" s="132" t="s">
        <v>123</v>
      </c>
    </row>
    <row r="6" spans="1:20" ht="15.75" thickBot="1" x14ac:dyDescent="0.3">
      <c r="C6" s="133">
        <f>'Input Area'!E17</f>
        <v>17</v>
      </c>
      <c r="D6" s="133">
        <f>'Input Area'!F17</f>
        <v>17</v>
      </c>
      <c r="E6" s="133">
        <f>'Input Area'!G17</f>
        <v>18</v>
      </c>
      <c r="F6" s="133">
        <f>'Input Area'!H17</f>
        <v>18</v>
      </c>
      <c r="G6" s="133">
        <f>'Input Area'!I17</f>
        <v>18</v>
      </c>
      <c r="H6" s="133">
        <f>'Input Area'!J17</f>
        <v>19</v>
      </c>
      <c r="I6" s="133">
        <f>'Input Area'!K17</f>
        <v>19</v>
      </c>
      <c r="J6" s="133">
        <f>'Input Area'!L17</f>
        <v>19</v>
      </c>
      <c r="K6" s="133">
        <f>'Input Area'!M17</f>
        <v>20</v>
      </c>
      <c r="L6" s="133">
        <f>'Input Area'!N17</f>
        <v>20</v>
      </c>
      <c r="M6" s="133">
        <f>'Input Area'!O17</f>
        <v>20</v>
      </c>
      <c r="N6" s="133">
        <f>'Input Area'!P17</f>
        <v>21</v>
      </c>
      <c r="O6" s="133">
        <f>'Input Area'!Q17</f>
        <v>21</v>
      </c>
      <c r="P6" s="133">
        <f>'Input Area'!R17</f>
        <v>21</v>
      </c>
      <c r="Q6" s="133">
        <f>'Input Area'!S17</f>
        <v>22</v>
      </c>
    </row>
    <row r="7" spans="1:20" s="82" customFormat="1" x14ac:dyDescent="0.25">
      <c r="A7" s="418" t="s">
        <v>84</v>
      </c>
      <c r="B7" s="419"/>
      <c r="C7" s="123"/>
      <c r="D7" s="124"/>
      <c r="E7" s="124"/>
      <c r="F7" s="123"/>
      <c r="G7" s="124"/>
      <c r="H7" s="124"/>
      <c r="I7" s="123"/>
      <c r="J7" s="124"/>
      <c r="K7" s="124"/>
      <c r="L7" s="123"/>
      <c r="M7" s="124"/>
      <c r="N7" s="124"/>
      <c r="O7" s="123"/>
      <c r="P7" s="124"/>
      <c r="Q7" s="137"/>
    </row>
    <row r="8" spans="1:20" x14ac:dyDescent="0.25">
      <c r="A8" s="110" t="str">
        <f>'Input Area'!$A$17</f>
        <v xml:space="preserve">Cohort </v>
      </c>
      <c r="B8" s="169">
        <f>'Input Area'!A18</f>
        <v>1</v>
      </c>
      <c r="C8" s="48">
        <f>'Input Area'!$B18*'Input Area'!E18*$F$3</f>
        <v>0</v>
      </c>
      <c r="D8" s="61">
        <f>'Input Area'!$B18*'Input Area'!F18*$F$3</f>
        <v>0</v>
      </c>
      <c r="E8" s="49">
        <f>'Input Area'!$B18*'Input Area'!G18*$F$3</f>
        <v>0</v>
      </c>
      <c r="F8" s="48">
        <f>'Input Area'!$B18*'Input Area'!H18*$F$3*1.02</f>
        <v>0</v>
      </c>
      <c r="G8" s="61">
        <f>'Input Area'!$B18*'Input Area'!I18*$F$3*1.02</f>
        <v>0</v>
      </c>
      <c r="H8" s="49">
        <f>'Input Area'!$B18*'Input Area'!J18*$F$3*1.02</f>
        <v>0</v>
      </c>
      <c r="I8" s="48">
        <f>'Input Area'!$B18*'Input Area'!K18*$F$3*1.04</f>
        <v>0</v>
      </c>
      <c r="J8" s="61">
        <f>'Input Area'!$B18*'Input Area'!L18*$F$3*1.04</f>
        <v>0</v>
      </c>
      <c r="K8" s="49">
        <f>'Input Area'!$B18*'Input Area'!M18*$F$3*1.04</f>
        <v>0</v>
      </c>
      <c r="L8" s="48">
        <f>'Input Area'!$B18*'Input Area'!N18*$F$3*1.06</f>
        <v>0</v>
      </c>
      <c r="M8" s="61">
        <f>'Input Area'!$B18*'Input Area'!O18*$F$3*1.06</f>
        <v>0</v>
      </c>
      <c r="N8" s="49">
        <f>'Input Area'!$B18*'Input Area'!P18*$F$3*1.06</f>
        <v>0</v>
      </c>
      <c r="O8" s="48">
        <f>'Input Area'!$B18*'Input Area'!Q18*$F$3*1.08</f>
        <v>0</v>
      </c>
      <c r="P8" s="61">
        <f>'Input Area'!$B18*'Input Area'!R18*$F$3*1.08</f>
        <v>0</v>
      </c>
      <c r="Q8" s="49">
        <f>'Input Area'!$B18*'Input Area'!S18*$F$3*1.08</f>
        <v>0</v>
      </c>
      <c r="R8" s="138"/>
    </row>
    <row r="9" spans="1:20" x14ac:dyDescent="0.25">
      <c r="A9" s="110" t="str">
        <f>'Input Area'!$A$17</f>
        <v xml:space="preserve">Cohort </v>
      </c>
      <c r="B9" s="169">
        <f>'Input Area'!A19</f>
        <v>2</v>
      </c>
      <c r="C9" s="48">
        <f>'Input Area'!$B19*'Input Area'!E19*$F$3</f>
        <v>0</v>
      </c>
      <c r="D9" s="61">
        <f>'Input Area'!$B19*'Input Area'!F19*$F$3</f>
        <v>0</v>
      </c>
      <c r="E9" s="49">
        <f>'Input Area'!$B19*'Input Area'!G19*$F$3</f>
        <v>0</v>
      </c>
      <c r="F9" s="48">
        <f>'Input Area'!$B19*'Input Area'!H19*$F$3*1.02</f>
        <v>0</v>
      </c>
      <c r="G9" s="61">
        <f>'Input Area'!$B19*'Input Area'!I19*$F$3*1.02</f>
        <v>0</v>
      </c>
      <c r="H9" s="49">
        <f>'Input Area'!$B19*'Input Area'!J19*$F$3*1.02</f>
        <v>0</v>
      </c>
      <c r="I9" s="48">
        <f>'Input Area'!$B19*'Input Area'!K19*$F$3*1.04</f>
        <v>0</v>
      </c>
      <c r="J9" s="61">
        <f>'Input Area'!$B19*'Input Area'!L19*$F$3*1.04</f>
        <v>0</v>
      </c>
      <c r="K9" s="49">
        <f>'Input Area'!$B19*'Input Area'!M19*$F$3*1.04</f>
        <v>0</v>
      </c>
      <c r="L9" s="48">
        <f>'Input Area'!$B19*'Input Area'!N19*$F$3*1.06</f>
        <v>0</v>
      </c>
      <c r="M9" s="61">
        <f>'Input Area'!$B19*'Input Area'!O19*$F$3*1.06</f>
        <v>0</v>
      </c>
      <c r="N9" s="49">
        <f>'Input Area'!$B19*'Input Area'!P19*$F$3*1.06</f>
        <v>0</v>
      </c>
      <c r="O9" s="48">
        <f>'Input Area'!$B19*'Input Area'!Q19*$F$3*1.08</f>
        <v>0</v>
      </c>
      <c r="P9" s="61">
        <f>'Input Area'!$B19*'Input Area'!R19*$F$3*1.08</f>
        <v>0</v>
      </c>
      <c r="Q9" s="49">
        <f>'Input Area'!$B19*'Input Area'!S19*$F$3*1.08</f>
        <v>0</v>
      </c>
    </row>
    <row r="10" spans="1:20" x14ac:dyDescent="0.25">
      <c r="A10" s="110" t="str">
        <f>'Input Area'!$A$17</f>
        <v xml:space="preserve">Cohort </v>
      </c>
      <c r="B10" s="169">
        <f>'Input Area'!A20</f>
        <v>3</v>
      </c>
      <c r="C10" s="48">
        <f>'Input Area'!$B20*'Input Area'!E20*$F$3</f>
        <v>0</v>
      </c>
      <c r="D10" s="61">
        <f>'Input Area'!$B20*'Input Area'!F20*$F$3</f>
        <v>0</v>
      </c>
      <c r="E10" s="49">
        <f>'Input Area'!$B20*'Input Area'!G20*$F$3</f>
        <v>0</v>
      </c>
      <c r="F10" s="48">
        <f>'Input Area'!$B20*'Input Area'!H20*$F$3*1.02</f>
        <v>0</v>
      </c>
      <c r="G10" s="61">
        <f>'Input Area'!$B20*'Input Area'!I20*$F$3*1.02</f>
        <v>0</v>
      </c>
      <c r="H10" s="49">
        <f>'Input Area'!$B20*'Input Area'!J20*$F$3*1.02</f>
        <v>0</v>
      </c>
      <c r="I10" s="48">
        <f>'Input Area'!$B20*'Input Area'!K20*$F$3*1.04</f>
        <v>0</v>
      </c>
      <c r="J10" s="61">
        <f>'Input Area'!$B20*'Input Area'!L20*$F$3*1.04</f>
        <v>0</v>
      </c>
      <c r="K10" s="49">
        <f>'Input Area'!$B20*'Input Area'!M20*$F$3*1.04</f>
        <v>0</v>
      </c>
      <c r="L10" s="48">
        <f>'Input Area'!$B20*'Input Area'!N20*$F$3*1.06</f>
        <v>0</v>
      </c>
      <c r="M10" s="61">
        <f>'Input Area'!$B20*'Input Area'!O20*$F$3*1.06</f>
        <v>0</v>
      </c>
      <c r="N10" s="49">
        <f>'Input Area'!$B20*'Input Area'!P20*$F$3*1.06</f>
        <v>0</v>
      </c>
      <c r="O10" s="48">
        <f>'Input Area'!$B20*'Input Area'!Q20*$F$3*1.08</f>
        <v>0</v>
      </c>
      <c r="P10" s="61">
        <f>'Input Area'!$B20*'Input Area'!R20*$F$3*1.08</f>
        <v>0</v>
      </c>
      <c r="Q10" s="49">
        <f>'Input Area'!$B20*'Input Area'!S20*$F$3*1.08</f>
        <v>0</v>
      </c>
    </row>
    <row r="11" spans="1:20" x14ac:dyDescent="0.25">
      <c r="A11" s="110" t="str">
        <f>'Input Area'!$A$17</f>
        <v xml:space="preserve">Cohort </v>
      </c>
      <c r="B11" s="169">
        <f>'Input Area'!A21</f>
        <v>4</v>
      </c>
      <c r="C11" s="48">
        <f>'Input Area'!$B21*'Input Area'!E21*$F$3</f>
        <v>0</v>
      </c>
      <c r="D11" s="61">
        <f>'Input Area'!$B21*'Input Area'!F21*$F$3</f>
        <v>0</v>
      </c>
      <c r="E11" s="49">
        <f>'Input Area'!$B21*'Input Area'!G21*$F$3</f>
        <v>0</v>
      </c>
      <c r="F11" s="48">
        <f>'Input Area'!$B21*'Input Area'!H21*$F$3*1.02</f>
        <v>0</v>
      </c>
      <c r="G11" s="61">
        <f>'Input Area'!$B21*'Input Area'!I21*$F$3*1.02</f>
        <v>0</v>
      </c>
      <c r="H11" s="49">
        <f>'Input Area'!$B21*'Input Area'!J21*$F$3*1.02</f>
        <v>0</v>
      </c>
      <c r="I11" s="48">
        <f>'Input Area'!$B21*'Input Area'!K21*$F$3*1.04</f>
        <v>0</v>
      </c>
      <c r="J11" s="61">
        <f>'Input Area'!$B21*'Input Area'!L21*$F$3*1.04</f>
        <v>0</v>
      </c>
      <c r="K11" s="49">
        <f>'Input Area'!$B21*'Input Area'!M21*$F$3*1.04</f>
        <v>0</v>
      </c>
      <c r="L11" s="48">
        <f>'Input Area'!$B21*'Input Area'!N21*$F$3*1.06</f>
        <v>0</v>
      </c>
      <c r="M11" s="61">
        <f>'Input Area'!$B21*'Input Area'!O21*$F$3*1.06</f>
        <v>0</v>
      </c>
      <c r="N11" s="49">
        <f>'Input Area'!$B21*'Input Area'!P21*$F$3*1.06</f>
        <v>0</v>
      </c>
      <c r="O11" s="48">
        <f>'Input Area'!$B21*'Input Area'!Q21*$F$3*1.08</f>
        <v>0</v>
      </c>
      <c r="P11" s="61">
        <f>'Input Area'!$B21*'Input Area'!R21*$F$3*1.08</f>
        <v>0</v>
      </c>
      <c r="Q11" s="49">
        <f>'Input Area'!$B21*'Input Area'!S21*$F$3*1.08</f>
        <v>0</v>
      </c>
    </row>
    <row r="12" spans="1:20" s="10" customFormat="1" x14ac:dyDescent="0.25">
      <c r="A12" s="110" t="str">
        <f>'Input Area'!$A$17</f>
        <v xml:space="preserve">Cohort </v>
      </c>
      <c r="B12" s="169">
        <f>'Input Area'!A22</f>
        <v>5</v>
      </c>
      <c r="C12" s="48">
        <f>'Input Area'!$B22*'Input Area'!E22*$F$3</f>
        <v>0</v>
      </c>
      <c r="D12" s="61">
        <f>'Input Area'!$B22*'Input Area'!F22*$F$3</f>
        <v>0</v>
      </c>
      <c r="E12" s="49">
        <f>'Input Area'!$B22*'Input Area'!G22*$F$3</f>
        <v>0</v>
      </c>
      <c r="F12" s="48">
        <f>'Input Area'!$B22*'Input Area'!H22*$F$3*1.02</f>
        <v>0</v>
      </c>
      <c r="G12" s="61">
        <f>'Input Area'!$B22*'Input Area'!I22*$F$3*1.02</f>
        <v>0</v>
      </c>
      <c r="H12" s="49">
        <f>'Input Area'!$B22*'Input Area'!J22*$F$3*1.02</f>
        <v>0</v>
      </c>
      <c r="I12" s="48">
        <f>'Input Area'!$B22*'Input Area'!K22*$F$3*1.04</f>
        <v>0</v>
      </c>
      <c r="J12" s="61">
        <f>'Input Area'!$B22*'Input Area'!L22*$F$3*1.04</f>
        <v>0</v>
      </c>
      <c r="K12" s="49">
        <f>'Input Area'!$B22*'Input Area'!M22*$F$3*1.04</f>
        <v>0</v>
      </c>
      <c r="L12" s="48">
        <f>'Input Area'!$B22*'Input Area'!N22*$F$3*1.06</f>
        <v>0</v>
      </c>
      <c r="M12" s="61">
        <f>'Input Area'!$B22*'Input Area'!O22*$F$3*1.06</f>
        <v>0</v>
      </c>
      <c r="N12" s="49">
        <f>'Input Area'!$B22*'Input Area'!P22*$F$3*1.06</f>
        <v>0</v>
      </c>
      <c r="O12" s="48">
        <f>'Input Area'!$B22*'Input Area'!Q22*$F$3*1.08</f>
        <v>0</v>
      </c>
      <c r="P12" s="61">
        <f>'Input Area'!$B22*'Input Area'!R22*$F$3*1.08</f>
        <v>0</v>
      </c>
      <c r="Q12" s="49">
        <f>'Input Area'!$B22*'Input Area'!S22*$F$3*1.08</f>
        <v>0</v>
      </c>
      <c r="S12" s="82"/>
      <c r="T12" s="82"/>
    </row>
    <row r="13" spans="1:20" s="10" customFormat="1" x14ac:dyDescent="0.25">
      <c r="A13" s="110" t="str">
        <f>'Input Area'!$A$17</f>
        <v xml:space="preserve">Cohort </v>
      </c>
      <c r="B13" s="169">
        <f>'Input Area'!A23</f>
        <v>6</v>
      </c>
      <c r="C13" s="48">
        <f>'Input Area'!$B23*'Input Area'!E23*$F$3</f>
        <v>0</v>
      </c>
      <c r="D13" s="61">
        <f>'Input Area'!$B23*'Input Area'!F23*$F$3</f>
        <v>0</v>
      </c>
      <c r="E13" s="49">
        <f>'Input Area'!$B23*'Input Area'!G23*$F$3</f>
        <v>0</v>
      </c>
      <c r="F13" s="48">
        <f>'Input Area'!$B23*'Input Area'!H23*$F$3*1.02</f>
        <v>0</v>
      </c>
      <c r="G13" s="61">
        <f>'Input Area'!$B23*'Input Area'!I23*$F$3*1.02</f>
        <v>0</v>
      </c>
      <c r="H13" s="49">
        <f>'Input Area'!$B23*'Input Area'!J23*$F$3*1.02</f>
        <v>0</v>
      </c>
      <c r="I13" s="48">
        <f>'Input Area'!$B23*'Input Area'!K23*$F$3*1.04</f>
        <v>0</v>
      </c>
      <c r="J13" s="61">
        <f>'Input Area'!$B23*'Input Area'!L23*$F$3*1.04</f>
        <v>0</v>
      </c>
      <c r="K13" s="49">
        <f>'Input Area'!$B23*'Input Area'!M23*$F$3*1.04</f>
        <v>0</v>
      </c>
      <c r="L13" s="48">
        <f>'Input Area'!$B23*'Input Area'!N23*$F$3*1.06</f>
        <v>0</v>
      </c>
      <c r="M13" s="61">
        <f>'Input Area'!$B23*'Input Area'!O23*$F$3*1.06</f>
        <v>0</v>
      </c>
      <c r="N13" s="49">
        <f>'Input Area'!$B23*'Input Area'!P23*$F$3*1.06</f>
        <v>0</v>
      </c>
      <c r="O13" s="48">
        <f>'Input Area'!$B23*'Input Area'!Q23*$F$3*1.08</f>
        <v>0</v>
      </c>
      <c r="P13" s="61">
        <f>'Input Area'!$B23*'Input Area'!R23*$F$3*1.08</f>
        <v>0</v>
      </c>
      <c r="Q13" s="49">
        <f>'Input Area'!$B23*'Input Area'!S23*$F$3*1.08</f>
        <v>0</v>
      </c>
      <c r="S13" s="82"/>
      <c r="T13" s="82"/>
    </row>
    <row r="14" spans="1:20" s="82" customFormat="1" x14ac:dyDescent="0.25">
      <c r="A14" s="110" t="str">
        <f>'Input Area'!$A$17</f>
        <v xml:space="preserve">Cohort </v>
      </c>
      <c r="B14" s="169">
        <f>'Input Area'!A24</f>
        <v>7</v>
      </c>
      <c r="C14" s="48">
        <f>'Input Area'!$B24*'Input Area'!E24*$F$3</f>
        <v>0</v>
      </c>
      <c r="D14" s="61">
        <f>'Input Area'!$B24*'Input Area'!F24*$F$3</f>
        <v>0</v>
      </c>
      <c r="E14" s="49">
        <f>'Input Area'!$B24*'Input Area'!G24*$F$3</f>
        <v>0</v>
      </c>
      <c r="F14" s="48">
        <f>'Input Area'!$B24*'Input Area'!H24*$F$3*1.02</f>
        <v>0</v>
      </c>
      <c r="G14" s="61">
        <f>'Input Area'!$B24*'Input Area'!I24*$F$3*1.02</f>
        <v>0</v>
      </c>
      <c r="H14" s="49">
        <f>'Input Area'!$B24*'Input Area'!J24*$F$3*1.02</f>
        <v>0</v>
      </c>
      <c r="I14" s="48">
        <f>'Input Area'!$B24*'Input Area'!K24*$F$3*1.04</f>
        <v>0</v>
      </c>
      <c r="J14" s="61">
        <f>'Input Area'!$B24*'Input Area'!L24*$F$3*1.04</f>
        <v>0</v>
      </c>
      <c r="K14" s="49">
        <f>'Input Area'!$B24*'Input Area'!M24*$F$3*1.04</f>
        <v>0</v>
      </c>
      <c r="L14" s="48">
        <f>'Input Area'!$B24*'Input Area'!N24*$F$3*1.06</f>
        <v>0</v>
      </c>
      <c r="M14" s="61">
        <f>'Input Area'!$B24*'Input Area'!O24*$F$3*1.06</f>
        <v>0</v>
      </c>
      <c r="N14" s="49">
        <f>'Input Area'!$B24*'Input Area'!P24*$F$3*1.06</f>
        <v>0</v>
      </c>
      <c r="O14" s="48">
        <f>'Input Area'!$B24*'Input Area'!Q24*$F$3*1.08</f>
        <v>0</v>
      </c>
      <c r="P14" s="61">
        <f>'Input Area'!$B24*'Input Area'!R24*$F$3*1.08</f>
        <v>0</v>
      </c>
      <c r="Q14" s="49">
        <f>'Input Area'!$B24*'Input Area'!S24*$F$3*1.08</f>
        <v>0</v>
      </c>
    </row>
    <row r="15" spans="1:20" s="10" customFormat="1" x14ac:dyDescent="0.25">
      <c r="A15" s="110" t="str">
        <f>'Input Area'!$A$17</f>
        <v xml:space="preserve">Cohort </v>
      </c>
      <c r="B15" s="169">
        <f>'Input Area'!A25</f>
        <v>8</v>
      </c>
      <c r="C15" s="48">
        <f>'Input Area'!$B25*'Input Area'!E25*$F$3</f>
        <v>0</v>
      </c>
      <c r="D15" s="61">
        <f>'Input Area'!$B25*'Input Area'!F25*$F$3</f>
        <v>0</v>
      </c>
      <c r="E15" s="49">
        <f>'Input Area'!$B25*'Input Area'!G25*$F$3</f>
        <v>0</v>
      </c>
      <c r="F15" s="48">
        <f>'Input Area'!$B25*'Input Area'!H25*$F$3*1.02</f>
        <v>0</v>
      </c>
      <c r="G15" s="61">
        <f>'Input Area'!$B25*'Input Area'!I25*$F$3*1.02</f>
        <v>0</v>
      </c>
      <c r="H15" s="49">
        <f>'Input Area'!$B25*'Input Area'!J25*$F$3*1.02</f>
        <v>0</v>
      </c>
      <c r="I15" s="48">
        <f>'Input Area'!$B25*'Input Area'!K25*$F$3*1.04</f>
        <v>0</v>
      </c>
      <c r="J15" s="61">
        <f>'Input Area'!$B25*'Input Area'!L25*$F$3*1.04</f>
        <v>0</v>
      </c>
      <c r="K15" s="49">
        <f>'Input Area'!$B25*'Input Area'!M25*$F$3*1.04</f>
        <v>0</v>
      </c>
      <c r="L15" s="48">
        <f>'Input Area'!$B25*'Input Area'!N25*$F$3*1.06</f>
        <v>0</v>
      </c>
      <c r="M15" s="61">
        <f>'Input Area'!$B25*'Input Area'!O25*$F$3*1.06</f>
        <v>0</v>
      </c>
      <c r="N15" s="49">
        <f>'Input Area'!$B25*'Input Area'!P25*$F$3*1.06</f>
        <v>0</v>
      </c>
      <c r="O15" s="48">
        <f>'Input Area'!$B25*'Input Area'!Q25*$F$3*1.08</f>
        <v>0</v>
      </c>
      <c r="P15" s="61">
        <f>'Input Area'!$B25*'Input Area'!R25*$F$3*1.08</f>
        <v>0</v>
      </c>
      <c r="Q15" s="49">
        <f>'Input Area'!$B25*'Input Area'!S25*$F$3*1.08</f>
        <v>0</v>
      </c>
      <c r="S15" s="82"/>
      <c r="T15" s="82"/>
    </row>
    <row r="16" spans="1:20" x14ac:dyDescent="0.25">
      <c r="A16" s="110" t="str">
        <f>'Input Area'!$A$17</f>
        <v xml:space="preserve">Cohort </v>
      </c>
      <c r="B16" s="169">
        <f>'Input Area'!A26</f>
        <v>9</v>
      </c>
      <c r="C16" s="48">
        <f>'Input Area'!$B26*'Input Area'!E26*$F$3</f>
        <v>0</v>
      </c>
      <c r="D16" s="61">
        <f>'Input Area'!$B26*'Input Area'!F26*$F$3</f>
        <v>0</v>
      </c>
      <c r="E16" s="49">
        <f>'Input Area'!$B26*'Input Area'!G26*$F$3</f>
        <v>0</v>
      </c>
      <c r="F16" s="48">
        <f>'Input Area'!$B26*'Input Area'!H26*$F$3*1.02</f>
        <v>0</v>
      </c>
      <c r="G16" s="61">
        <f>'Input Area'!$B26*'Input Area'!I26*$F$3*1.02</f>
        <v>0</v>
      </c>
      <c r="H16" s="49">
        <f>'Input Area'!$B26*'Input Area'!J26*$F$3*1.02</f>
        <v>0</v>
      </c>
      <c r="I16" s="48">
        <f>'Input Area'!$B26*'Input Area'!K26*$F$3*1.04</f>
        <v>0</v>
      </c>
      <c r="J16" s="61">
        <f>'Input Area'!$B26*'Input Area'!L26*$F$3*1.04</f>
        <v>0</v>
      </c>
      <c r="K16" s="49">
        <f>'Input Area'!$B26*'Input Area'!M26*$F$3*1.04</f>
        <v>0</v>
      </c>
      <c r="L16" s="48">
        <f>'Input Area'!$B26*'Input Area'!N26*$F$3*1.06</f>
        <v>0</v>
      </c>
      <c r="M16" s="61">
        <f>'Input Area'!$B26*'Input Area'!O26*$F$3*1.06</f>
        <v>0</v>
      </c>
      <c r="N16" s="49">
        <f>'Input Area'!$B26*'Input Area'!P26*$F$3*1.06</f>
        <v>0</v>
      </c>
      <c r="O16" s="48">
        <f>'Input Area'!$B26*'Input Area'!Q26*$F$3*1.08</f>
        <v>0</v>
      </c>
      <c r="P16" s="61">
        <f>'Input Area'!$B26*'Input Area'!R26*$F$3*1.08</f>
        <v>0</v>
      </c>
      <c r="Q16" s="49">
        <f>'Input Area'!$B26*'Input Area'!S26*$F$3*1.08</f>
        <v>0</v>
      </c>
    </row>
    <row r="17" spans="1:20" s="62" customFormat="1" x14ac:dyDescent="0.25">
      <c r="A17" s="170"/>
      <c r="B17" s="171" t="s">
        <v>133</v>
      </c>
      <c r="C17" s="71">
        <f t="shared" ref="C17:Q17" si="0">SUBTOTAL(9,C8:C16)</f>
        <v>0</v>
      </c>
      <c r="D17" s="71">
        <f t="shared" si="0"/>
        <v>0</v>
      </c>
      <c r="E17" s="72">
        <f t="shared" si="0"/>
        <v>0</v>
      </c>
      <c r="F17" s="70">
        <f t="shared" si="0"/>
        <v>0</v>
      </c>
      <c r="G17" s="71">
        <f t="shared" si="0"/>
        <v>0</v>
      </c>
      <c r="H17" s="72">
        <f t="shared" si="0"/>
        <v>0</v>
      </c>
      <c r="I17" s="70">
        <f t="shared" si="0"/>
        <v>0</v>
      </c>
      <c r="J17" s="71">
        <f t="shared" si="0"/>
        <v>0</v>
      </c>
      <c r="K17" s="72">
        <f t="shared" si="0"/>
        <v>0</v>
      </c>
      <c r="L17" s="70">
        <f t="shared" si="0"/>
        <v>0</v>
      </c>
      <c r="M17" s="71">
        <f t="shared" si="0"/>
        <v>0</v>
      </c>
      <c r="N17" s="72">
        <f t="shared" si="0"/>
        <v>0</v>
      </c>
      <c r="O17" s="70">
        <f t="shared" si="0"/>
        <v>0</v>
      </c>
      <c r="P17" s="71">
        <f t="shared" si="0"/>
        <v>0</v>
      </c>
      <c r="Q17" s="72">
        <f t="shared" si="0"/>
        <v>0</v>
      </c>
    </row>
    <row r="18" spans="1:20" s="66" customFormat="1" x14ac:dyDescent="0.25">
      <c r="A18" s="67"/>
      <c r="B18" s="67" t="s">
        <v>87</v>
      </c>
      <c r="C18" s="417">
        <f>C17+D17+0.75*E17</f>
        <v>0</v>
      </c>
      <c r="D18" s="417"/>
      <c r="E18" s="417"/>
      <c r="F18" s="417">
        <f>0.25*E17+F17+G17+0.75*H17</f>
        <v>0</v>
      </c>
      <c r="G18" s="417"/>
      <c r="H18" s="417"/>
      <c r="I18" s="417">
        <f>0.25*H17+I17+J17+0.75*K17</f>
        <v>0</v>
      </c>
      <c r="J18" s="417"/>
      <c r="K18" s="417"/>
      <c r="L18" s="417">
        <f>0.25*K17+L17+M17+0.75*N17</f>
        <v>0</v>
      </c>
      <c r="M18" s="417"/>
      <c r="N18" s="417"/>
      <c r="O18" s="417">
        <f>0.25*N17+O17+P17+0.75*Q17</f>
        <v>0</v>
      </c>
      <c r="P18" s="417"/>
      <c r="Q18" s="417"/>
    </row>
    <row r="19" spans="1:20" x14ac:dyDescent="0.25">
      <c r="A19" s="418" t="s">
        <v>83</v>
      </c>
      <c r="B19" s="419"/>
      <c r="C19" s="48"/>
      <c r="D19" s="61"/>
      <c r="E19" s="49"/>
      <c r="F19" s="48"/>
      <c r="G19" s="61"/>
      <c r="H19" s="49"/>
      <c r="I19" s="48"/>
      <c r="J19" s="61"/>
      <c r="K19" s="49"/>
      <c r="L19" s="48"/>
      <c r="M19" s="61"/>
      <c r="N19" s="49"/>
      <c r="O19" s="48"/>
      <c r="P19" s="61"/>
      <c r="Q19" s="49"/>
    </row>
    <row r="20" spans="1:20" x14ac:dyDescent="0.25">
      <c r="A20" s="110" t="str">
        <f t="shared" ref="A20:B24" si="1">A8</f>
        <v xml:space="preserve">Cohort </v>
      </c>
      <c r="B20" s="169">
        <f t="shared" si="1"/>
        <v>1</v>
      </c>
      <c r="C20" s="48">
        <f>'Input Area'!$C18*'Input Area'!E18*$I$3</f>
        <v>0</v>
      </c>
      <c r="D20" s="61">
        <f>'Input Area'!$C18*'Input Area'!F18*$I$3</f>
        <v>0</v>
      </c>
      <c r="E20" s="49">
        <f>'Input Area'!$C18*'Input Area'!G18*$I$3</f>
        <v>0</v>
      </c>
      <c r="F20" s="48">
        <f>'Input Area'!$C18*'Input Area'!H18*$I$3</f>
        <v>0</v>
      </c>
      <c r="G20" s="61">
        <f>'Input Area'!$C18*'Input Area'!I18*$I$3</f>
        <v>0</v>
      </c>
      <c r="H20" s="49">
        <f>'Input Area'!$C18*'Input Area'!J18*$I$3</f>
        <v>0</v>
      </c>
      <c r="I20" s="48">
        <f>'Input Area'!$C18*'Input Area'!K18*$I$3*1.06</f>
        <v>0</v>
      </c>
      <c r="J20" s="61">
        <f>'Input Area'!$C18*'Input Area'!L18*$I$3*1.06</f>
        <v>0</v>
      </c>
      <c r="K20" s="49">
        <f>'Input Area'!$C18*'Input Area'!M18*$I$3*1.06</f>
        <v>0</v>
      </c>
      <c r="L20" s="48">
        <f>'Input Area'!$C18*'Input Area'!N18*$I$3*1.06</f>
        <v>0</v>
      </c>
      <c r="M20" s="61">
        <f>'Input Area'!$C18*'Input Area'!O18*$I$3*1.06</f>
        <v>0</v>
      </c>
      <c r="N20" s="49">
        <f>'Input Area'!$C18*'Input Area'!P18*$I$3*1.06</f>
        <v>0</v>
      </c>
      <c r="O20" s="48">
        <f>'Input Area'!$C18*'Input Area'!Q18*$I$3*1.12</f>
        <v>0</v>
      </c>
      <c r="P20" s="61">
        <f>'Input Area'!$C18*'Input Area'!R18*$I$3*1.12</f>
        <v>0</v>
      </c>
      <c r="Q20" s="49">
        <f>'Input Area'!$C18*'Input Area'!S18*$I$3*1.12</f>
        <v>0</v>
      </c>
      <c r="R20" s="138"/>
    </row>
    <row r="21" spans="1:20" x14ac:dyDescent="0.25">
      <c r="A21" s="110" t="str">
        <f t="shared" si="1"/>
        <v xml:space="preserve">Cohort </v>
      </c>
      <c r="B21" s="169">
        <f t="shared" si="1"/>
        <v>2</v>
      </c>
      <c r="C21" s="48">
        <f>'Input Area'!$C19*'Input Area'!E19*$I$3</f>
        <v>0</v>
      </c>
      <c r="D21" s="61">
        <f>'Input Area'!$C19*'Input Area'!F19*$I$3</f>
        <v>0</v>
      </c>
      <c r="E21" s="49">
        <f>'Input Area'!$C19*'Input Area'!G19*$I$3</f>
        <v>0</v>
      </c>
      <c r="F21" s="48">
        <f>'Input Area'!$C19*'Input Area'!H19*$I$3</f>
        <v>0</v>
      </c>
      <c r="G21" s="61">
        <f>'Input Area'!$C19*'Input Area'!I19*$I$3</f>
        <v>0</v>
      </c>
      <c r="H21" s="49">
        <f>'Input Area'!$C19*'Input Area'!J19*$I$3</f>
        <v>0</v>
      </c>
      <c r="I21" s="48">
        <f>'Input Area'!$C19*'Input Area'!K19*$I$3*1.06</f>
        <v>0</v>
      </c>
      <c r="J21" s="61">
        <f>'Input Area'!$C19*'Input Area'!L19*$I$3*1.06</f>
        <v>0</v>
      </c>
      <c r="K21" s="49">
        <f>'Input Area'!$C19*'Input Area'!M19*$I$3*1.06</f>
        <v>0</v>
      </c>
      <c r="L21" s="48">
        <f>'Input Area'!$C19*'Input Area'!N19*$I$3*1.06</f>
        <v>0</v>
      </c>
      <c r="M21" s="61">
        <f>'Input Area'!$C19*'Input Area'!O19*$I$3*1.06</f>
        <v>0</v>
      </c>
      <c r="N21" s="49">
        <f>'Input Area'!$C19*'Input Area'!P19*$I$3*1.06</f>
        <v>0</v>
      </c>
      <c r="O21" s="48">
        <f>'Input Area'!$C19*'Input Area'!Q19*$I$3*1.12</f>
        <v>0</v>
      </c>
      <c r="P21" s="61">
        <f>'Input Area'!$C19*'Input Area'!R19*$I$3*1.12</f>
        <v>0</v>
      </c>
      <c r="Q21" s="49">
        <f>'Input Area'!$C19*'Input Area'!S19*$I$3*1.12</f>
        <v>0</v>
      </c>
    </row>
    <row r="22" spans="1:20" x14ac:dyDescent="0.25">
      <c r="A22" s="110" t="str">
        <f t="shared" si="1"/>
        <v xml:space="preserve">Cohort </v>
      </c>
      <c r="B22" s="169">
        <f t="shared" si="1"/>
        <v>3</v>
      </c>
      <c r="C22" s="48">
        <f>'Input Area'!$C20*'Input Area'!E20*$I$3</f>
        <v>0</v>
      </c>
      <c r="D22" s="61">
        <f>'Input Area'!$C20*'Input Area'!F20*$I$3</f>
        <v>0</v>
      </c>
      <c r="E22" s="49">
        <f>'Input Area'!$C20*'Input Area'!G20*$I$3</f>
        <v>0</v>
      </c>
      <c r="F22" s="48">
        <f>'Input Area'!$C20*'Input Area'!H20*$I$3</f>
        <v>0</v>
      </c>
      <c r="G22" s="61">
        <f>'Input Area'!$C20*'Input Area'!I20*$I$3</f>
        <v>0</v>
      </c>
      <c r="H22" s="49">
        <f>'Input Area'!$C20*'Input Area'!J20*$I$3</f>
        <v>0</v>
      </c>
      <c r="I22" s="48">
        <f>'Input Area'!$C20*'Input Area'!K20*$I$3*1.06</f>
        <v>0</v>
      </c>
      <c r="J22" s="61">
        <f>'Input Area'!$C20*'Input Area'!L20*$I$3*1.06</f>
        <v>0</v>
      </c>
      <c r="K22" s="49">
        <f>'Input Area'!$C20*'Input Area'!M20*$I$3*1.06</f>
        <v>0</v>
      </c>
      <c r="L22" s="48">
        <f>'Input Area'!$C20*'Input Area'!N20*$I$3*1.06</f>
        <v>0</v>
      </c>
      <c r="M22" s="61">
        <f>'Input Area'!$C20*'Input Area'!O20*$I$3*1.06</f>
        <v>0</v>
      </c>
      <c r="N22" s="49">
        <f>'Input Area'!$C20*'Input Area'!P20*$I$3*1.06</f>
        <v>0</v>
      </c>
      <c r="O22" s="48">
        <f>'Input Area'!$C20*'Input Area'!Q20*$I$3*1.12</f>
        <v>0</v>
      </c>
      <c r="P22" s="61">
        <f>'Input Area'!$C20*'Input Area'!R20*$I$3*1.12</f>
        <v>0</v>
      </c>
      <c r="Q22" s="49">
        <f>'Input Area'!$C20*'Input Area'!S20*$I$3*1.12</f>
        <v>0</v>
      </c>
    </row>
    <row r="23" spans="1:20" x14ac:dyDescent="0.25">
      <c r="A23" s="110" t="str">
        <f t="shared" si="1"/>
        <v xml:space="preserve">Cohort </v>
      </c>
      <c r="B23" s="169">
        <f t="shared" si="1"/>
        <v>4</v>
      </c>
      <c r="C23" s="48">
        <f>'Input Area'!$C21*'Input Area'!E21*$I$3</f>
        <v>0</v>
      </c>
      <c r="D23" s="61">
        <f>'Input Area'!$C21*'Input Area'!F21*$I$3</f>
        <v>0</v>
      </c>
      <c r="E23" s="49">
        <f>'Input Area'!$C21*'Input Area'!G21*$I$3</f>
        <v>0</v>
      </c>
      <c r="F23" s="48">
        <f>'Input Area'!$C21*'Input Area'!H21*$I$3</f>
        <v>0</v>
      </c>
      <c r="G23" s="61">
        <f>'Input Area'!$C21*'Input Area'!I21*$I$3</f>
        <v>0</v>
      </c>
      <c r="H23" s="49">
        <f>'Input Area'!$C21*'Input Area'!J21*$I$3</f>
        <v>0</v>
      </c>
      <c r="I23" s="48">
        <f>'Input Area'!$C21*'Input Area'!K21*$I$3*1.06</f>
        <v>0</v>
      </c>
      <c r="J23" s="61">
        <f>'Input Area'!$C21*'Input Area'!L21*$I$3*1.06</f>
        <v>0</v>
      </c>
      <c r="K23" s="49">
        <f>'Input Area'!$C21*'Input Area'!M21*$I$3*1.06</f>
        <v>0</v>
      </c>
      <c r="L23" s="48">
        <f>'Input Area'!$C21*'Input Area'!N21*$I$3*1.06</f>
        <v>0</v>
      </c>
      <c r="M23" s="61">
        <f>'Input Area'!$C21*'Input Area'!O21*$I$3*1.06</f>
        <v>0</v>
      </c>
      <c r="N23" s="49">
        <f>'Input Area'!$C21*'Input Area'!P21*$I$3*1.06</f>
        <v>0</v>
      </c>
      <c r="O23" s="48">
        <f>'Input Area'!$C21*'Input Area'!Q21*$I$3*1.12</f>
        <v>0</v>
      </c>
      <c r="P23" s="61">
        <f>'Input Area'!$C21*'Input Area'!R21*$I$3*1.12</f>
        <v>0</v>
      </c>
      <c r="Q23" s="49">
        <f>'Input Area'!$C21*'Input Area'!S21*$I$3*1.12</f>
        <v>0</v>
      </c>
    </row>
    <row r="24" spans="1:20" s="10" customFormat="1" x14ac:dyDescent="0.25">
      <c r="A24" s="110" t="str">
        <f t="shared" si="1"/>
        <v xml:space="preserve">Cohort </v>
      </c>
      <c r="B24" s="169">
        <f t="shared" si="1"/>
        <v>5</v>
      </c>
      <c r="C24" s="48">
        <f>'Input Area'!$C22*'Input Area'!E22*$I$3</f>
        <v>0</v>
      </c>
      <c r="D24" s="61">
        <f>'Input Area'!$C22*'Input Area'!F22*$I$3</f>
        <v>0</v>
      </c>
      <c r="E24" s="49">
        <f>'Input Area'!$C22*'Input Area'!G22*$I$3</f>
        <v>0</v>
      </c>
      <c r="F24" s="48">
        <f>'Input Area'!$C22*'Input Area'!H22*$I$3</f>
        <v>0</v>
      </c>
      <c r="G24" s="61">
        <f>'Input Area'!$C22*'Input Area'!I22*$I$3</f>
        <v>0</v>
      </c>
      <c r="H24" s="49">
        <f>'Input Area'!$C22*'Input Area'!J22*$I$3</f>
        <v>0</v>
      </c>
      <c r="I24" s="48">
        <f>'Input Area'!$C22*'Input Area'!K22*$I$3*1.06</f>
        <v>0</v>
      </c>
      <c r="J24" s="61">
        <f>'Input Area'!$C22*'Input Area'!L22*$I$3*1.06</f>
        <v>0</v>
      </c>
      <c r="K24" s="49">
        <f>'Input Area'!$C22*'Input Area'!M22*$I$3*1.06</f>
        <v>0</v>
      </c>
      <c r="L24" s="48">
        <f>'Input Area'!$C22*'Input Area'!N22*$I$3*1.06</f>
        <v>0</v>
      </c>
      <c r="M24" s="61">
        <f>'Input Area'!$C22*'Input Area'!O22*$I$3*1.06</f>
        <v>0</v>
      </c>
      <c r="N24" s="49">
        <f>'Input Area'!$C22*'Input Area'!P22*$I$3*1.06</f>
        <v>0</v>
      </c>
      <c r="O24" s="48">
        <f>'Input Area'!$C22*'Input Area'!Q22*$I$3*1.12</f>
        <v>0</v>
      </c>
      <c r="P24" s="61">
        <f>'Input Area'!$C22*'Input Area'!R22*$I$3*1.12</f>
        <v>0</v>
      </c>
      <c r="Q24" s="49">
        <f>'Input Area'!$C22*'Input Area'!S22*$I$3*1.12</f>
        <v>0</v>
      </c>
      <c r="S24" s="82"/>
      <c r="T24" s="82"/>
    </row>
    <row r="25" spans="1:20" s="10" customFormat="1" x14ac:dyDescent="0.25">
      <c r="A25" s="110" t="str">
        <f>A13</f>
        <v xml:space="preserve">Cohort </v>
      </c>
      <c r="B25" s="169">
        <f t="shared" ref="B25:B28" si="2">B13</f>
        <v>6</v>
      </c>
      <c r="C25" s="48">
        <f>'Input Area'!$C23*'Input Area'!E23*$I$3</f>
        <v>0</v>
      </c>
      <c r="D25" s="61">
        <f>'Input Area'!$C23*'Input Area'!F23*$I$3</f>
        <v>0</v>
      </c>
      <c r="E25" s="49">
        <f>'Input Area'!$C23*'Input Area'!G23*$I$3</f>
        <v>0</v>
      </c>
      <c r="F25" s="48">
        <f>'Input Area'!$C23*'Input Area'!H23*$I$3</f>
        <v>0</v>
      </c>
      <c r="G25" s="61">
        <f>'Input Area'!$C23*'Input Area'!I23*$I$3</f>
        <v>0</v>
      </c>
      <c r="H25" s="49">
        <f>'Input Area'!$C23*'Input Area'!J23*$I$3</f>
        <v>0</v>
      </c>
      <c r="I25" s="48">
        <f>'Input Area'!$C23*'Input Area'!K23*$I$3*1.06</f>
        <v>0</v>
      </c>
      <c r="J25" s="61">
        <f>'Input Area'!$C23*'Input Area'!L23*$I$3*1.06</f>
        <v>0</v>
      </c>
      <c r="K25" s="49">
        <f>'Input Area'!$C23*'Input Area'!M23*$I$3*1.06</f>
        <v>0</v>
      </c>
      <c r="L25" s="48">
        <f>'Input Area'!$C23*'Input Area'!N23*$I$3*1.06</f>
        <v>0</v>
      </c>
      <c r="M25" s="61">
        <f>'Input Area'!$C23*'Input Area'!O23*$I$3*1.06</f>
        <v>0</v>
      </c>
      <c r="N25" s="49">
        <f>'Input Area'!$C23*'Input Area'!P23*$I$3*1.06</f>
        <v>0</v>
      </c>
      <c r="O25" s="48">
        <f>'Input Area'!$C23*'Input Area'!Q23*$I$3*1.12</f>
        <v>0</v>
      </c>
      <c r="P25" s="61">
        <f>'Input Area'!$C23*'Input Area'!R23*$I$3*1.12</f>
        <v>0</v>
      </c>
      <c r="Q25" s="49">
        <f>'Input Area'!$C23*'Input Area'!S23*$I$3*1.12</f>
        <v>0</v>
      </c>
      <c r="S25" s="82"/>
      <c r="T25" s="82"/>
    </row>
    <row r="26" spans="1:20" s="82" customFormat="1" x14ac:dyDescent="0.25">
      <c r="A26" s="110" t="str">
        <f>A14</f>
        <v xml:space="preserve">Cohort </v>
      </c>
      <c r="B26" s="169">
        <f t="shared" si="2"/>
        <v>7</v>
      </c>
      <c r="C26" s="48">
        <f>'Input Area'!$C24*'Input Area'!E24*$I$3</f>
        <v>0</v>
      </c>
      <c r="D26" s="61">
        <f>'Input Area'!$C24*'Input Area'!F24*$I$3</f>
        <v>0</v>
      </c>
      <c r="E26" s="49">
        <f>'Input Area'!$C24*'Input Area'!G24*$I$3</f>
        <v>0</v>
      </c>
      <c r="F26" s="48">
        <f>'Input Area'!$C24*'Input Area'!H24*$I$3</f>
        <v>0</v>
      </c>
      <c r="G26" s="61">
        <f>'Input Area'!$C24*'Input Area'!I24*$I$3</f>
        <v>0</v>
      </c>
      <c r="H26" s="49">
        <f>'Input Area'!$C24*'Input Area'!J24*$I$3</f>
        <v>0</v>
      </c>
      <c r="I26" s="48">
        <f>'Input Area'!$C24*'Input Area'!K24*$I$3*1.06</f>
        <v>0</v>
      </c>
      <c r="J26" s="61">
        <f>'Input Area'!$C24*'Input Area'!L24*$I$3*1.06</f>
        <v>0</v>
      </c>
      <c r="K26" s="49">
        <f>'Input Area'!$C24*'Input Area'!M24*$I$3*1.06</f>
        <v>0</v>
      </c>
      <c r="L26" s="48">
        <f>'Input Area'!$C24*'Input Area'!N24*$I$3*1.06</f>
        <v>0</v>
      </c>
      <c r="M26" s="61">
        <f>'Input Area'!$C24*'Input Area'!O24*$I$3*1.06</f>
        <v>0</v>
      </c>
      <c r="N26" s="49">
        <f>'Input Area'!$C24*'Input Area'!P24*$I$3*1.06</f>
        <v>0</v>
      </c>
      <c r="O26" s="48">
        <f>'Input Area'!$C24*'Input Area'!Q24*$I$3*1.12</f>
        <v>0</v>
      </c>
      <c r="P26" s="61">
        <f>'Input Area'!$C24*'Input Area'!R24*$I$3*1.12</f>
        <v>0</v>
      </c>
      <c r="Q26" s="49">
        <f>'Input Area'!$C24*'Input Area'!S24*$I$3*1.12</f>
        <v>0</v>
      </c>
    </row>
    <row r="27" spans="1:20" s="10" customFormat="1" x14ac:dyDescent="0.25">
      <c r="A27" s="110" t="str">
        <f>A15</f>
        <v xml:space="preserve">Cohort </v>
      </c>
      <c r="B27" s="169">
        <f t="shared" si="2"/>
        <v>8</v>
      </c>
      <c r="C27" s="48">
        <f>'Input Area'!$C25*'Input Area'!E25*$I$3</f>
        <v>0</v>
      </c>
      <c r="D27" s="61">
        <f>'Input Area'!$C25*'Input Area'!F25*$I$3</f>
        <v>0</v>
      </c>
      <c r="E27" s="49">
        <f>'Input Area'!$C25*'Input Area'!G25*$I$3</f>
        <v>0</v>
      </c>
      <c r="F27" s="48">
        <f>'Input Area'!$C25*'Input Area'!H25*$I$3</f>
        <v>0</v>
      </c>
      <c r="G27" s="61">
        <f>'Input Area'!$C25*'Input Area'!I25*$I$3</f>
        <v>0</v>
      </c>
      <c r="H27" s="49">
        <f>'Input Area'!$C25*'Input Area'!J25*$I$3</f>
        <v>0</v>
      </c>
      <c r="I27" s="48">
        <f>'Input Area'!$C25*'Input Area'!K25*$I$3*1.06</f>
        <v>0</v>
      </c>
      <c r="J27" s="61">
        <f>'Input Area'!$C25*'Input Area'!L25*$I$3*1.06</f>
        <v>0</v>
      </c>
      <c r="K27" s="49">
        <f>'Input Area'!$C25*'Input Area'!M25*$I$3*1.06</f>
        <v>0</v>
      </c>
      <c r="L27" s="48">
        <f>'Input Area'!$C25*'Input Area'!N25*$I$3*1.06</f>
        <v>0</v>
      </c>
      <c r="M27" s="61">
        <f>'Input Area'!$C25*'Input Area'!O25*$I$3*1.06</f>
        <v>0</v>
      </c>
      <c r="N27" s="49">
        <f>'Input Area'!$C25*'Input Area'!P25*$I$3*1.06</f>
        <v>0</v>
      </c>
      <c r="O27" s="48">
        <f>'Input Area'!$C25*'Input Area'!Q25*$I$3*1.12</f>
        <v>0</v>
      </c>
      <c r="P27" s="61">
        <f>'Input Area'!$C25*'Input Area'!R25*$I$3*1.12</f>
        <v>0</v>
      </c>
      <c r="Q27" s="49">
        <f>'Input Area'!$C25*'Input Area'!S25*$I$3*1.12</f>
        <v>0</v>
      </c>
      <c r="S27" s="82"/>
      <c r="T27" s="82"/>
    </row>
    <row r="28" spans="1:20" x14ac:dyDescent="0.25">
      <c r="A28" s="110" t="str">
        <f>A16</f>
        <v xml:space="preserve">Cohort </v>
      </c>
      <c r="B28" s="169">
        <f t="shared" si="2"/>
        <v>9</v>
      </c>
      <c r="C28" s="48">
        <f>'Input Area'!$C26*'Input Area'!E26*$I$3</f>
        <v>0</v>
      </c>
      <c r="D28" s="61">
        <f>'Input Area'!$C26*'Input Area'!F26*$I$3</f>
        <v>0</v>
      </c>
      <c r="E28" s="49">
        <f>'Input Area'!$C26*'Input Area'!G26*$I$3</f>
        <v>0</v>
      </c>
      <c r="F28" s="48">
        <f>'Input Area'!$C26*'Input Area'!H26*$I$3</f>
        <v>0</v>
      </c>
      <c r="G28" s="61">
        <f>'Input Area'!$C26*'Input Area'!I26*$I$3</f>
        <v>0</v>
      </c>
      <c r="H28" s="49">
        <f>'Input Area'!$C26*'Input Area'!J26*$I$3</f>
        <v>0</v>
      </c>
      <c r="I28" s="48">
        <f>'Input Area'!$C26*'Input Area'!K26*$I$3*1.06</f>
        <v>0</v>
      </c>
      <c r="J28" s="61">
        <f>'Input Area'!$C26*'Input Area'!L26*$I$3*1.06</f>
        <v>0</v>
      </c>
      <c r="K28" s="49">
        <f>'Input Area'!$C26*'Input Area'!M26*$I$3*1.06</f>
        <v>0</v>
      </c>
      <c r="L28" s="48">
        <f>'Input Area'!$C26*'Input Area'!N26*$I$3*1.06</f>
        <v>0</v>
      </c>
      <c r="M28" s="61">
        <f>'Input Area'!$C26*'Input Area'!O26*$I$3*1.06</f>
        <v>0</v>
      </c>
      <c r="N28" s="49">
        <f>'Input Area'!$C26*'Input Area'!P26*$I$3*1.06</f>
        <v>0</v>
      </c>
      <c r="O28" s="48">
        <f>'Input Area'!$C26*'Input Area'!Q26*$I$3*1.12</f>
        <v>0</v>
      </c>
      <c r="P28" s="61">
        <f>'Input Area'!$C26*'Input Area'!R26*$I$3*1.12</f>
        <v>0</v>
      </c>
      <c r="Q28" s="49">
        <f>'Input Area'!$C26*'Input Area'!S26*$I$3*1.12</f>
        <v>0</v>
      </c>
    </row>
    <row r="29" spans="1:20" x14ac:dyDescent="0.25">
      <c r="A29" s="172"/>
      <c r="B29" s="171" t="s">
        <v>133</v>
      </c>
      <c r="C29" s="64">
        <f>SUBTOTAL(9,C20:C28)</f>
        <v>0</v>
      </c>
      <c r="D29" s="64">
        <f t="shared" ref="D29:Q29" si="3">SUBTOTAL(9,D20:D28)</f>
        <v>0</v>
      </c>
      <c r="E29" s="65">
        <f t="shared" si="3"/>
        <v>0</v>
      </c>
      <c r="F29" s="63">
        <f t="shared" si="3"/>
        <v>0</v>
      </c>
      <c r="G29" s="64">
        <f t="shared" si="3"/>
        <v>0</v>
      </c>
      <c r="H29" s="65">
        <f t="shared" si="3"/>
        <v>0</v>
      </c>
      <c r="I29" s="63">
        <f t="shared" si="3"/>
        <v>0</v>
      </c>
      <c r="J29" s="64">
        <f t="shared" si="3"/>
        <v>0</v>
      </c>
      <c r="K29" s="65">
        <f t="shared" si="3"/>
        <v>0</v>
      </c>
      <c r="L29" s="63">
        <f t="shared" si="3"/>
        <v>0</v>
      </c>
      <c r="M29" s="64">
        <f t="shared" si="3"/>
        <v>0</v>
      </c>
      <c r="N29" s="65">
        <f t="shared" si="3"/>
        <v>0</v>
      </c>
      <c r="O29" s="63">
        <f t="shared" si="3"/>
        <v>0</v>
      </c>
      <c r="P29" s="64">
        <f t="shared" si="3"/>
        <v>0</v>
      </c>
      <c r="Q29" s="65">
        <f t="shared" si="3"/>
        <v>0</v>
      </c>
    </row>
    <row r="30" spans="1:20" s="74" customFormat="1" x14ac:dyDescent="0.25">
      <c r="A30" s="73"/>
      <c r="B30" s="73" t="s">
        <v>87</v>
      </c>
      <c r="C30" s="417">
        <f>C29+D29+0.75*E29</f>
        <v>0</v>
      </c>
      <c r="D30" s="417"/>
      <c r="E30" s="417"/>
      <c r="F30" s="417">
        <f>0.25*E29+F29+G29+0.75*H29</f>
        <v>0</v>
      </c>
      <c r="G30" s="417"/>
      <c r="H30" s="417"/>
      <c r="I30" s="417">
        <f>0.25*H29+I29+J29+0.75*K29</f>
        <v>0</v>
      </c>
      <c r="J30" s="417"/>
      <c r="K30" s="417"/>
      <c r="L30" s="417">
        <f>0.25*K29+L29+M29+0.75*N29</f>
        <v>0</v>
      </c>
      <c r="M30" s="417"/>
      <c r="N30" s="417"/>
      <c r="O30" s="417">
        <f>0.25*N29+O29+P29+0.75*Q29</f>
        <v>0</v>
      </c>
      <c r="P30" s="417"/>
      <c r="Q30" s="417"/>
    </row>
    <row r="31" spans="1:20" s="2" customFormat="1" x14ac:dyDescent="0.25">
      <c r="B31" s="60" t="s">
        <v>90</v>
      </c>
      <c r="C31" s="69">
        <f t="shared" ref="C31:Q31" si="4">C17+C29</f>
        <v>0</v>
      </c>
      <c r="D31" s="69">
        <f t="shared" si="4"/>
        <v>0</v>
      </c>
      <c r="E31" s="69">
        <f t="shared" si="4"/>
        <v>0</v>
      </c>
      <c r="F31" s="69">
        <f t="shared" si="4"/>
        <v>0</v>
      </c>
      <c r="G31" s="69">
        <f t="shared" si="4"/>
        <v>0</v>
      </c>
      <c r="H31" s="69">
        <f t="shared" si="4"/>
        <v>0</v>
      </c>
      <c r="I31" s="69">
        <f t="shared" si="4"/>
        <v>0</v>
      </c>
      <c r="J31" s="69">
        <f t="shared" si="4"/>
        <v>0</v>
      </c>
      <c r="K31" s="69">
        <f t="shared" si="4"/>
        <v>0</v>
      </c>
      <c r="L31" s="69">
        <f t="shared" si="4"/>
        <v>0</v>
      </c>
      <c r="M31" s="69">
        <f t="shared" si="4"/>
        <v>0</v>
      </c>
      <c r="N31" s="69">
        <f t="shared" si="4"/>
        <v>0</v>
      </c>
      <c r="O31" s="69">
        <f t="shared" si="4"/>
        <v>0</v>
      </c>
      <c r="P31" s="69">
        <f t="shared" si="4"/>
        <v>0</v>
      </c>
      <c r="Q31" s="69">
        <f t="shared" si="4"/>
        <v>0</v>
      </c>
      <c r="S31" s="83"/>
      <c r="T31" s="83"/>
    </row>
    <row r="32" spans="1:20" s="58" customFormat="1" ht="15.75" x14ac:dyDescent="0.25">
      <c r="A32" s="68"/>
      <c r="B32" s="68" t="s">
        <v>89</v>
      </c>
      <c r="C32" s="420">
        <f>C31+D31+0.75*E31</f>
        <v>0</v>
      </c>
      <c r="D32" s="420"/>
      <c r="E32" s="420"/>
      <c r="F32" s="420">
        <f>0.25*E31+F31+G31+0.75*H31</f>
        <v>0</v>
      </c>
      <c r="G32" s="420"/>
      <c r="H32" s="420"/>
      <c r="I32" s="420">
        <f>0.25*H31+I31+J31+0.75*K31</f>
        <v>0</v>
      </c>
      <c r="J32" s="420"/>
      <c r="K32" s="420"/>
      <c r="L32" s="420">
        <f>0.25*K31+L31+M31+0.75*N31</f>
        <v>0</v>
      </c>
      <c r="M32" s="420"/>
      <c r="N32" s="420"/>
      <c r="O32" s="420">
        <f>0.25*N31+O31+P31+0.75*Q31</f>
        <v>0</v>
      </c>
      <c r="P32" s="420"/>
      <c r="Q32" s="420"/>
    </row>
    <row r="33" spans="1:20" x14ac:dyDescent="0.25">
      <c r="A33" s="83" t="s">
        <v>98</v>
      </c>
    </row>
    <row r="34" spans="1:20" x14ac:dyDescent="0.25">
      <c r="A34" s="59"/>
      <c r="B34" s="59"/>
      <c r="C34" s="59"/>
      <c r="D34" s="59"/>
      <c r="E34" s="59"/>
      <c r="F34" s="59"/>
      <c r="G34" s="59"/>
      <c r="H34" s="59"/>
      <c r="I34" s="59"/>
      <c r="J34" s="59"/>
      <c r="K34" s="59"/>
      <c r="L34" s="59"/>
      <c r="M34" s="59"/>
      <c r="N34" s="59"/>
      <c r="O34" s="59"/>
      <c r="P34" s="59"/>
      <c r="Q34" s="59"/>
      <c r="R34" s="59"/>
    </row>
    <row r="35" spans="1:20" ht="21" x14ac:dyDescent="0.35">
      <c r="A35" s="50" t="s">
        <v>181</v>
      </c>
    </row>
    <row r="36" spans="1:20" s="82" customFormat="1" x14ac:dyDescent="0.25">
      <c r="A36" s="75" t="s">
        <v>180</v>
      </c>
    </row>
    <row r="37" spans="1:20" s="82" customFormat="1" ht="15.75" thickBot="1" x14ac:dyDescent="0.3">
      <c r="A37" s="75"/>
    </row>
    <row r="38" spans="1:20" ht="15.75" thickBot="1" x14ac:dyDescent="0.3">
      <c r="A38" s="201"/>
      <c r="B38" s="241"/>
      <c r="C38" s="364">
        <f>'Input Area'!E15</f>
        <v>1718</v>
      </c>
      <c r="D38" s="365"/>
      <c r="E38" s="366"/>
      <c r="F38" s="365">
        <f>'Input Area'!H15</f>
        <v>1819</v>
      </c>
      <c r="G38" s="365"/>
      <c r="H38" s="366"/>
      <c r="I38" s="365">
        <f>'Input Area'!K15</f>
        <v>1920</v>
      </c>
      <c r="J38" s="365"/>
      <c r="K38" s="366"/>
      <c r="L38" s="365">
        <f>'Input Area'!N15</f>
        <v>2021</v>
      </c>
      <c r="M38" s="365"/>
      <c r="N38" s="366"/>
      <c r="O38" s="365">
        <f>'Input Area'!Q15</f>
        <v>2122</v>
      </c>
      <c r="P38" s="365"/>
      <c r="Q38" s="366"/>
    </row>
    <row r="39" spans="1:20" s="82" customFormat="1" x14ac:dyDescent="0.25">
      <c r="A39" s="13"/>
      <c r="B39" s="241"/>
      <c r="C39" s="131" t="s">
        <v>124</v>
      </c>
      <c r="D39" s="132" t="s">
        <v>122</v>
      </c>
      <c r="E39" s="132" t="s">
        <v>123</v>
      </c>
      <c r="F39" s="131" t="s">
        <v>124</v>
      </c>
      <c r="G39" s="132" t="s">
        <v>122</v>
      </c>
      <c r="H39" s="132" t="s">
        <v>123</v>
      </c>
      <c r="I39" s="131" t="s">
        <v>124</v>
      </c>
      <c r="J39" s="132" t="s">
        <v>122</v>
      </c>
      <c r="K39" s="132" t="s">
        <v>123</v>
      </c>
      <c r="L39" s="131" t="s">
        <v>124</v>
      </c>
      <c r="M39" s="132" t="s">
        <v>122</v>
      </c>
      <c r="N39" s="132" t="s">
        <v>123</v>
      </c>
      <c r="O39" s="131" t="s">
        <v>124</v>
      </c>
      <c r="P39" s="132" t="s">
        <v>122</v>
      </c>
      <c r="Q39" s="132" t="s">
        <v>123</v>
      </c>
    </row>
    <row r="40" spans="1:20" s="82" customFormat="1" ht="15.75" thickBot="1" x14ac:dyDescent="0.3">
      <c r="A40" s="13"/>
      <c r="B40" s="13"/>
      <c r="C40" s="133">
        <f>'Input Area'!E17</f>
        <v>17</v>
      </c>
      <c r="D40" s="133">
        <f>'Input Area'!F17</f>
        <v>17</v>
      </c>
      <c r="E40" s="133">
        <f>'Input Area'!G17</f>
        <v>18</v>
      </c>
      <c r="F40" s="133">
        <f>'Input Area'!H17</f>
        <v>18</v>
      </c>
      <c r="G40" s="133">
        <f>'Input Area'!I17</f>
        <v>18</v>
      </c>
      <c r="H40" s="133">
        <f>'Input Area'!J17</f>
        <v>19</v>
      </c>
      <c r="I40" s="133">
        <f>'Input Area'!K17</f>
        <v>19</v>
      </c>
      <c r="J40" s="133">
        <f>'Input Area'!L17</f>
        <v>19</v>
      </c>
      <c r="K40" s="133">
        <f>'Input Area'!M17</f>
        <v>20</v>
      </c>
      <c r="L40" s="133">
        <f>'Input Area'!N17</f>
        <v>20</v>
      </c>
      <c r="M40" s="133">
        <f>'Input Area'!O17</f>
        <v>20</v>
      </c>
      <c r="N40" s="133">
        <f>'Input Area'!P17</f>
        <v>21</v>
      </c>
      <c r="O40" s="133">
        <f>'Input Area'!Q17</f>
        <v>21</v>
      </c>
      <c r="P40" s="133">
        <f>'Input Area'!R17</f>
        <v>21</v>
      </c>
      <c r="Q40" s="133">
        <f>'Input Area'!S17</f>
        <v>22</v>
      </c>
    </row>
    <row r="41" spans="1:20" ht="15.75" customHeight="1" x14ac:dyDescent="0.25">
      <c r="A41" s="418" t="s">
        <v>84</v>
      </c>
      <c r="B41" s="418"/>
      <c r="C41" s="431" t="s">
        <v>191</v>
      </c>
      <c r="D41" s="432"/>
      <c r="E41" s="432"/>
      <c r="F41" s="432"/>
      <c r="G41" s="432"/>
      <c r="H41" s="432"/>
      <c r="I41" s="432"/>
      <c r="J41" s="432"/>
      <c r="K41" s="432"/>
      <c r="L41" s="432"/>
      <c r="M41" s="432"/>
      <c r="N41" s="432"/>
      <c r="O41" s="432"/>
      <c r="P41" s="432"/>
      <c r="Q41" s="433"/>
    </row>
    <row r="42" spans="1:20" x14ac:dyDescent="0.25">
      <c r="A42" s="111" t="str">
        <f t="shared" ref="A42:B50" si="5">A8</f>
        <v xml:space="preserve">Cohort </v>
      </c>
      <c r="B42" s="169">
        <f t="shared" si="5"/>
        <v>1</v>
      </c>
      <c r="C42" s="48">
        <f>IFERROR('Input Area'!$B18*'Input Area'!E18*VLOOKUP($C$38,'$ Data (view only)'!$A$2:$L$15,2),0)</f>
        <v>0</v>
      </c>
      <c r="D42" s="61">
        <f>IFERROR('Input Area'!$B18*'Input Area'!F18*VLOOKUP($C$38,'$ Data (view only)'!$A$2:$L$15,2),0)</f>
        <v>0</v>
      </c>
      <c r="E42" s="49">
        <f>IFERROR('Input Area'!$B18*'Input Area'!G18*VLOOKUP($C$38,'$ Data (view only)'!$A$2:$L$15,2),0)</f>
        <v>0</v>
      </c>
      <c r="F42" s="48">
        <f>IFERROR('Input Area'!$B18*'Input Area'!H18*VLOOKUP($F$38,'$ Data (view only)'!$A$2:$L$15,2),0)</f>
        <v>0</v>
      </c>
      <c r="G42" s="61">
        <f>IFERROR('Input Area'!$B18*'Input Area'!I18*VLOOKUP($F$38,'$ Data (view only)'!$A$2:$L$15,2),0)</f>
        <v>0</v>
      </c>
      <c r="H42" s="49">
        <f>IFERROR('Input Area'!$B18*'Input Area'!J18*VLOOKUP($F$38,'$ Data (view only)'!$A$2:$L$15,2),0)</f>
        <v>0</v>
      </c>
      <c r="I42" s="48">
        <f>IFERROR('Input Area'!$B18*'Input Area'!K18*VLOOKUP($I$38,'$ Data (view only)'!$A$2:$L$15,2),0)</f>
        <v>0</v>
      </c>
      <c r="J42" s="61">
        <f>IFERROR('Input Area'!$B18*'Input Area'!L18*VLOOKUP($I$38,'$ Data (view only)'!$A$2:$L$15,2),0)</f>
        <v>0</v>
      </c>
      <c r="K42" s="49">
        <f>IFERROR('Input Area'!$B18*'Input Area'!M18*VLOOKUP($I$38,'$ Data (view only)'!$A$2:$L$15,2),0)</f>
        <v>0</v>
      </c>
      <c r="L42" s="48">
        <f>IFERROR('Input Area'!$B18*'Input Area'!N18*VLOOKUP($L$38,'$ Data (view only)'!$A$2:$L$15,2),0)</f>
        <v>0</v>
      </c>
      <c r="M42" s="61">
        <f>IFERROR('Input Area'!$B18*'Input Area'!O18*VLOOKUP($L$38,'$ Data (view only)'!$A$2:$L$15,2),0)</f>
        <v>0</v>
      </c>
      <c r="N42" s="49">
        <f>IFERROR('Input Area'!$B18*'Input Area'!P18*VLOOKUP($L$38,'$ Data (view only)'!$A$2:$L$15,2),0)</f>
        <v>0</v>
      </c>
      <c r="O42" s="48">
        <f>IFERROR('Input Area'!$B18*'Input Area'!Q18*VLOOKUP($O$38,'$ Data (view only)'!$A$2:$L$15,2),0)</f>
        <v>0</v>
      </c>
      <c r="P42" s="61">
        <f>IFERROR('Input Area'!$B18*'Input Area'!R18*VLOOKUP($O$38,'$ Data (view only)'!$A$2:$L$15,2),0)</f>
        <v>0</v>
      </c>
      <c r="Q42" s="49">
        <f>IFERROR('Input Area'!$B18*'Input Area'!S18*VLOOKUP($O$38,'$ Data (view only)'!$A$2:$L$15,2),0)</f>
        <v>0</v>
      </c>
    </row>
    <row r="43" spans="1:20" x14ac:dyDescent="0.25">
      <c r="A43" s="111" t="str">
        <f t="shared" si="5"/>
        <v xml:space="preserve">Cohort </v>
      </c>
      <c r="B43" s="169">
        <f t="shared" si="5"/>
        <v>2</v>
      </c>
      <c r="C43" s="48">
        <f>IFERROR('Input Area'!$B19*'Input Area'!E19*VLOOKUP($C$38,'$ Data (view only)'!$A$2:$L$15,2),0)</f>
        <v>0</v>
      </c>
      <c r="D43" s="61">
        <f>IFERROR('Input Area'!$B19*'Input Area'!F19*VLOOKUP($C$38,'$ Data (view only)'!$A$2:$L$15,2),0)</f>
        <v>0</v>
      </c>
      <c r="E43" s="49">
        <f>IFERROR('Input Area'!$B19*'Input Area'!G19*VLOOKUP($C$38,'$ Data (view only)'!$A$2:$L$15,2),0)</f>
        <v>0</v>
      </c>
      <c r="F43" s="48">
        <f>IFERROR('Input Area'!$B19*'Input Area'!H19*VLOOKUP($F$38,'$ Data (view only)'!$A$2:$L$15,2),0)</f>
        <v>0</v>
      </c>
      <c r="G43" s="61">
        <f>IFERROR('Input Area'!$B19*'Input Area'!I19*VLOOKUP($F$38,'$ Data (view only)'!$A$2:$L$15,2),0)</f>
        <v>0</v>
      </c>
      <c r="H43" s="49">
        <f>IFERROR('Input Area'!$B19*'Input Area'!J19*VLOOKUP($F$38,'$ Data (view only)'!$A$2:$L$15,2),0)</f>
        <v>0</v>
      </c>
      <c r="I43" s="48">
        <f>IFERROR('Input Area'!$B19*'Input Area'!K19*VLOOKUP($I$38,'$ Data (view only)'!$A$2:$L$15,2),0)</f>
        <v>0</v>
      </c>
      <c r="J43" s="61">
        <f>IFERROR('Input Area'!$B19*'Input Area'!L19*VLOOKUP($I$38,'$ Data (view only)'!$A$2:$L$15,2),0)</f>
        <v>0</v>
      </c>
      <c r="K43" s="49">
        <f>IFERROR('Input Area'!$B19*'Input Area'!M19*VLOOKUP($I$38,'$ Data (view only)'!$A$2:$L$15,2),0)</f>
        <v>0</v>
      </c>
      <c r="L43" s="48">
        <f>IFERROR('Input Area'!$B19*'Input Area'!N19*VLOOKUP($L$38,'$ Data (view only)'!$A$2:$L$15,2),0)</f>
        <v>0</v>
      </c>
      <c r="M43" s="61">
        <f>IFERROR('Input Area'!$B19*'Input Area'!O19*VLOOKUP($L$38,'$ Data (view only)'!$A$2:$L$15,2),0)</f>
        <v>0</v>
      </c>
      <c r="N43" s="49">
        <f>IFERROR('Input Area'!$B19*'Input Area'!P19*VLOOKUP($L$38,'$ Data (view only)'!$A$2:$L$15,2),0)</f>
        <v>0</v>
      </c>
      <c r="O43" s="48">
        <f>IFERROR('Input Area'!$B19*'Input Area'!Q19*VLOOKUP($O$38,'$ Data (view only)'!$A$2:$L$15,2),0)</f>
        <v>0</v>
      </c>
      <c r="P43" s="61">
        <f>IFERROR('Input Area'!$B19*'Input Area'!R19*VLOOKUP($O$38,'$ Data (view only)'!$A$2:$L$15,2),0)</f>
        <v>0</v>
      </c>
      <c r="Q43" s="49">
        <f>IFERROR('Input Area'!$B19*'Input Area'!S19*VLOOKUP($O$38,'$ Data (view only)'!$A$2:$L$15,2),0)</f>
        <v>0</v>
      </c>
    </row>
    <row r="44" spans="1:20" x14ac:dyDescent="0.25">
      <c r="A44" s="111" t="str">
        <f t="shared" si="5"/>
        <v xml:space="preserve">Cohort </v>
      </c>
      <c r="B44" s="169">
        <f t="shared" si="5"/>
        <v>3</v>
      </c>
      <c r="C44" s="48">
        <f>IFERROR('Input Area'!$B20*'Input Area'!E20*VLOOKUP($C$38,'$ Data (view only)'!$A$2:$L$15,2),0)</f>
        <v>0</v>
      </c>
      <c r="D44" s="61">
        <f>IFERROR('Input Area'!$B20*'Input Area'!F20*VLOOKUP($C$38,'$ Data (view only)'!$A$2:$L$15,2),0)</f>
        <v>0</v>
      </c>
      <c r="E44" s="49">
        <f>IFERROR('Input Area'!$B20*'Input Area'!G20*VLOOKUP($C$38,'$ Data (view only)'!$A$2:$L$15,2),0)</f>
        <v>0</v>
      </c>
      <c r="F44" s="48">
        <f>IFERROR('Input Area'!$B20*'Input Area'!H20*VLOOKUP($F$38,'$ Data (view only)'!$A$2:$L$15,2),0)</f>
        <v>0</v>
      </c>
      <c r="G44" s="61">
        <f>IFERROR('Input Area'!$B20*'Input Area'!I20*VLOOKUP($F$38,'$ Data (view only)'!$A$2:$L$15,2),0)</f>
        <v>0</v>
      </c>
      <c r="H44" s="49">
        <f>IFERROR('Input Area'!$B20*'Input Area'!J20*VLOOKUP($F$38,'$ Data (view only)'!$A$2:$L$15,2),0)</f>
        <v>0</v>
      </c>
      <c r="I44" s="48">
        <f>IFERROR('Input Area'!$B20*'Input Area'!K20*VLOOKUP($I$38,'$ Data (view only)'!$A$2:$L$15,2),0)</f>
        <v>0</v>
      </c>
      <c r="J44" s="61">
        <f>IFERROR('Input Area'!$B20*'Input Area'!L20*VLOOKUP($I$38,'$ Data (view only)'!$A$2:$L$15,2),0)</f>
        <v>0</v>
      </c>
      <c r="K44" s="49">
        <f>IFERROR('Input Area'!$B20*'Input Area'!M20*VLOOKUP($I$38,'$ Data (view only)'!$A$2:$L$15,2),0)</f>
        <v>0</v>
      </c>
      <c r="L44" s="48">
        <f>IFERROR('Input Area'!$B20*'Input Area'!N20*VLOOKUP($L$38,'$ Data (view only)'!$A$2:$L$15,2),0)</f>
        <v>0</v>
      </c>
      <c r="M44" s="61">
        <f>IFERROR('Input Area'!$B20*'Input Area'!O20*VLOOKUP($L$38,'$ Data (view only)'!$A$2:$L$15,2),0)</f>
        <v>0</v>
      </c>
      <c r="N44" s="49">
        <f>IFERROR('Input Area'!$B20*'Input Area'!P20*VLOOKUP($L$38,'$ Data (view only)'!$A$2:$L$15,2),0)</f>
        <v>0</v>
      </c>
      <c r="O44" s="48">
        <f>IFERROR('Input Area'!$B20*'Input Area'!Q20*VLOOKUP($O$38,'$ Data (view only)'!$A$2:$L$15,2),0)</f>
        <v>0</v>
      </c>
      <c r="P44" s="61">
        <f>IFERROR('Input Area'!$B20*'Input Area'!R20*VLOOKUP($O$38,'$ Data (view only)'!$A$2:$L$15,2),0)</f>
        <v>0</v>
      </c>
      <c r="Q44" s="49">
        <f>IFERROR('Input Area'!$B20*'Input Area'!S20*VLOOKUP($O$38,'$ Data (view only)'!$A$2:$L$15,2),0)</f>
        <v>0</v>
      </c>
    </row>
    <row r="45" spans="1:20" x14ac:dyDescent="0.25">
      <c r="A45" s="111" t="str">
        <f t="shared" si="5"/>
        <v xml:space="preserve">Cohort </v>
      </c>
      <c r="B45" s="169">
        <f t="shared" si="5"/>
        <v>4</v>
      </c>
      <c r="C45" s="48">
        <f>IFERROR('Input Area'!$B21*'Input Area'!E21*VLOOKUP($C$38,'$ Data (view only)'!$A$2:$L$15,2),0)</f>
        <v>0</v>
      </c>
      <c r="D45" s="61">
        <f>IFERROR('Input Area'!$B21*'Input Area'!F21*VLOOKUP($C$38,'$ Data (view only)'!$A$2:$L$15,2),0)</f>
        <v>0</v>
      </c>
      <c r="E45" s="49">
        <f>IFERROR('Input Area'!$B21*'Input Area'!G21*VLOOKUP($C$38,'$ Data (view only)'!$A$2:$L$15,2),0)</f>
        <v>0</v>
      </c>
      <c r="F45" s="48">
        <f>IFERROR('Input Area'!$B21*'Input Area'!H21*VLOOKUP($F$38,'$ Data (view only)'!$A$2:$L$15,2),0)</f>
        <v>0</v>
      </c>
      <c r="G45" s="61">
        <f>IFERROR('Input Area'!$B21*'Input Area'!I21*VLOOKUP($F$38,'$ Data (view only)'!$A$2:$L$15,2),0)</f>
        <v>0</v>
      </c>
      <c r="H45" s="49">
        <f>IFERROR('Input Area'!$B21*'Input Area'!J21*VLOOKUP($F$38,'$ Data (view only)'!$A$2:$L$15,2),0)</f>
        <v>0</v>
      </c>
      <c r="I45" s="48">
        <f>IFERROR('Input Area'!$B21*'Input Area'!K21*VLOOKUP($I$38,'$ Data (view only)'!$A$2:$L$15,2),0)</f>
        <v>0</v>
      </c>
      <c r="J45" s="61">
        <f>IFERROR('Input Area'!$B21*'Input Area'!L21*VLOOKUP($I$38,'$ Data (view only)'!$A$2:$L$15,2),0)</f>
        <v>0</v>
      </c>
      <c r="K45" s="49">
        <f>IFERROR('Input Area'!$B21*'Input Area'!M21*VLOOKUP($I$38,'$ Data (view only)'!$A$2:$L$15,2),0)</f>
        <v>0</v>
      </c>
      <c r="L45" s="48">
        <f>IFERROR('Input Area'!$B21*'Input Area'!N21*VLOOKUP($L$38,'$ Data (view only)'!$A$2:$L$15,2),0)</f>
        <v>0</v>
      </c>
      <c r="M45" s="61">
        <f>IFERROR('Input Area'!$B21*'Input Area'!O21*VLOOKUP($L$38,'$ Data (view only)'!$A$2:$L$15,2),0)</f>
        <v>0</v>
      </c>
      <c r="N45" s="49">
        <f>IFERROR('Input Area'!$B21*'Input Area'!P21*VLOOKUP($L$38,'$ Data (view only)'!$A$2:$L$15,2),0)</f>
        <v>0</v>
      </c>
      <c r="O45" s="48">
        <f>IFERROR('Input Area'!$B21*'Input Area'!Q21*VLOOKUP($O$38,'$ Data (view only)'!$A$2:$L$15,2),0)</f>
        <v>0</v>
      </c>
      <c r="P45" s="61">
        <f>IFERROR('Input Area'!$B21*'Input Area'!R21*VLOOKUP($O$38,'$ Data (view only)'!$A$2:$L$15,2),0)</f>
        <v>0</v>
      </c>
      <c r="Q45" s="49">
        <f>IFERROR('Input Area'!$B21*'Input Area'!S21*VLOOKUP($O$38,'$ Data (view only)'!$A$2:$L$15,2),0)</f>
        <v>0</v>
      </c>
    </row>
    <row r="46" spans="1:20" s="10" customFormat="1" x14ac:dyDescent="0.25">
      <c r="A46" s="111" t="str">
        <f t="shared" si="5"/>
        <v xml:space="preserve">Cohort </v>
      </c>
      <c r="B46" s="169">
        <f t="shared" si="5"/>
        <v>5</v>
      </c>
      <c r="C46" s="48">
        <f>IFERROR('Input Area'!$B22*'Input Area'!E22*VLOOKUP($C$38,'$ Data (view only)'!$A$2:$L$15,2),0)</f>
        <v>0</v>
      </c>
      <c r="D46" s="61">
        <f>IFERROR('Input Area'!$B22*'Input Area'!F22*VLOOKUP($C$38,'$ Data (view only)'!$A$2:$L$15,2),0)</f>
        <v>0</v>
      </c>
      <c r="E46" s="49">
        <f>IFERROR('Input Area'!$B22*'Input Area'!G22*VLOOKUP($C$38,'$ Data (view only)'!$A$2:$L$15,2),0)</f>
        <v>0</v>
      </c>
      <c r="F46" s="48">
        <f>IFERROR('Input Area'!$B22*'Input Area'!H22*VLOOKUP($F$38,'$ Data (view only)'!$A$2:$L$15,2),0)</f>
        <v>0</v>
      </c>
      <c r="G46" s="61">
        <f>IFERROR('Input Area'!$B22*'Input Area'!I22*VLOOKUP($F$38,'$ Data (view only)'!$A$2:$L$15,2),0)</f>
        <v>0</v>
      </c>
      <c r="H46" s="49">
        <f>IFERROR('Input Area'!$B22*'Input Area'!J22*VLOOKUP($F$38,'$ Data (view only)'!$A$2:$L$15,2),0)</f>
        <v>0</v>
      </c>
      <c r="I46" s="48">
        <f>IFERROR('Input Area'!$B22*'Input Area'!K22*VLOOKUP($I$38,'$ Data (view only)'!$A$2:$L$15,2),0)</f>
        <v>0</v>
      </c>
      <c r="J46" s="61">
        <f>IFERROR('Input Area'!$B22*'Input Area'!L22*VLOOKUP($I$38,'$ Data (view only)'!$A$2:$L$15,2),0)</f>
        <v>0</v>
      </c>
      <c r="K46" s="49">
        <f>IFERROR('Input Area'!$B22*'Input Area'!M22*VLOOKUP($I$38,'$ Data (view only)'!$A$2:$L$15,2),0)</f>
        <v>0</v>
      </c>
      <c r="L46" s="48">
        <f>IFERROR('Input Area'!$B22*'Input Area'!N22*VLOOKUP($L$38,'$ Data (view only)'!$A$2:$L$15,2),0)</f>
        <v>0</v>
      </c>
      <c r="M46" s="61">
        <f>IFERROR('Input Area'!$B22*'Input Area'!O22*VLOOKUP($L$38,'$ Data (view only)'!$A$2:$L$15,2),0)</f>
        <v>0</v>
      </c>
      <c r="N46" s="49">
        <f>IFERROR('Input Area'!$B22*'Input Area'!P22*VLOOKUP($L$38,'$ Data (view only)'!$A$2:$L$15,2),0)</f>
        <v>0</v>
      </c>
      <c r="O46" s="48">
        <f>IFERROR('Input Area'!$B22*'Input Area'!Q22*VLOOKUP($O$38,'$ Data (view only)'!$A$2:$L$15,2),0)</f>
        <v>0</v>
      </c>
      <c r="P46" s="61">
        <f>IFERROR('Input Area'!$B22*'Input Area'!R22*VLOOKUP($O$38,'$ Data (view only)'!$A$2:$L$15,2),0)</f>
        <v>0</v>
      </c>
      <c r="Q46" s="49">
        <f>IFERROR('Input Area'!$B22*'Input Area'!S22*VLOOKUP($O$38,'$ Data (view only)'!$A$2:$L$15,2),0)</f>
        <v>0</v>
      </c>
      <c r="S46" s="82"/>
      <c r="T46" s="82"/>
    </row>
    <row r="47" spans="1:20" s="10" customFormat="1" x14ac:dyDescent="0.25">
      <c r="A47" s="111" t="str">
        <f t="shared" si="5"/>
        <v xml:space="preserve">Cohort </v>
      </c>
      <c r="B47" s="169">
        <f t="shared" si="5"/>
        <v>6</v>
      </c>
      <c r="C47" s="48">
        <f>IFERROR('Input Area'!$B23*'Input Area'!E23*VLOOKUP($C$38,'$ Data (view only)'!$A$2:$L$15,2),0)</f>
        <v>0</v>
      </c>
      <c r="D47" s="61">
        <f>IFERROR('Input Area'!$B23*'Input Area'!F23*VLOOKUP($C$38,'$ Data (view only)'!$A$2:$L$15,2),0)</f>
        <v>0</v>
      </c>
      <c r="E47" s="49">
        <f>IFERROR('Input Area'!$B23*'Input Area'!G23*VLOOKUP($C$38,'$ Data (view only)'!$A$2:$L$15,2),0)</f>
        <v>0</v>
      </c>
      <c r="F47" s="48">
        <f>IFERROR('Input Area'!$B23*'Input Area'!H23*VLOOKUP($F$38,'$ Data (view only)'!$A$2:$L$15,2),0)</f>
        <v>0</v>
      </c>
      <c r="G47" s="61">
        <f>IFERROR('Input Area'!$B23*'Input Area'!I23*VLOOKUP($F$38,'$ Data (view only)'!$A$2:$L$15,2),0)</f>
        <v>0</v>
      </c>
      <c r="H47" s="49">
        <f>IFERROR('Input Area'!$B23*'Input Area'!J23*VLOOKUP($F$38,'$ Data (view only)'!$A$2:$L$15,2),0)</f>
        <v>0</v>
      </c>
      <c r="I47" s="48">
        <f>IFERROR('Input Area'!$B23*'Input Area'!K23*VLOOKUP($I$38,'$ Data (view only)'!$A$2:$L$15,2),0)</f>
        <v>0</v>
      </c>
      <c r="J47" s="61">
        <f>IFERROR('Input Area'!$B23*'Input Area'!L23*VLOOKUP($I$38,'$ Data (view only)'!$A$2:$L$15,2),0)</f>
        <v>0</v>
      </c>
      <c r="K47" s="49">
        <f>IFERROR('Input Area'!$B23*'Input Area'!M23*VLOOKUP($I$38,'$ Data (view only)'!$A$2:$L$15,2),0)</f>
        <v>0</v>
      </c>
      <c r="L47" s="48">
        <f>IFERROR('Input Area'!$B23*'Input Area'!N23*VLOOKUP($L$38,'$ Data (view only)'!$A$2:$L$15,2),0)</f>
        <v>0</v>
      </c>
      <c r="M47" s="61">
        <f>IFERROR('Input Area'!$B23*'Input Area'!O23*VLOOKUP($L$38,'$ Data (view only)'!$A$2:$L$15,2),0)</f>
        <v>0</v>
      </c>
      <c r="N47" s="49">
        <f>IFERROR('Input Area'!$B23*'Input Area'!P23*VLOOKUP($L$38,'$ Data (view only)'!$A$2:$L$15,2),0)</f>
        <v>0</v>
      </c>
      <c r="O47" s="48">
        <f>IFERROR('Input Area'!$B23*'Input Area'!Q23*VLOOKUP($O$38,'$ Data (view only)'!$A$2:$L$15,2),0)</f>
        <v>0</v>
      </c>
      <c r="P47" s="61">
        <f>IFERROR('Input Area'!$B23*'Input Area'!R23*VLOOKUP($O$38,'$ Data (view only)'!$A$2:$L$15,2),0)</f>
        <v>0</v>
      </c>
      <c r="Q47" s="49">
        <f>IFERROR('Input Area'!$B23*'Input Area'!S23*VLOOKUP($O$38,'$ Data (view only)'!$A$2:$L$15,2),0)</f>
        <v>0</v>
      </c>
      <c r="S47" s="82"/>
      <c r="T47" s="82"/>
    </row>
    <row r="48" spans="1:20" s="82" customFormat="1" x14ac:dyDescent="0.25">
      <c r="A48" s="111" t="str">
        <f t="shared" si="5"/>
        <v xml:space="preserve">Cohort </v>
      </c>
      <c r="B48" s="169">
        <f t="shared" si="5"/>
        <v>7</v>
      </c>
      <c r="C48" s="48">
        <f>IFERROR('Input Area'!$B24*'Input Area'!E24*VLOOKUP($C$38,'$ Data (view only)'!$A$2:$L$15,2),0)</f>
        <v>0</v>
      </c>
      <c r="D48" s="61">
        <f>IFERROR('Input Area'!$B24*'Input Area'!F24*VLOOKUP($C$38,'$ Data (view only)'!$A$2:$L$15,2),0)</f>
        <v>0</v>
      </c>
      <c r="E48" s="49">
        <f>IFERROR('Input Area'!$B24*'Input Area'!G24*VLOOKUP($C$38,'$ Data (view only)'!$A$2:$L$15,2),0)</f>
        <v>0</v>
      </c>
      <c r="F48" s="48">
        <f>IFERROR('Input Area'!$B24*'Input Area'!H24*VLOOKUP($F$38,'$ Data (view only)'!$A$2:$L$15,2),0)</f>
        <v>0</v>
      </c>
      <c r="G48" s="61">
        <f>IFERROR('Input Area'!$B24*'Input Area'!I24*VLOOKUP($F$38,'$ Data (view only)'!$A$2:$L$15,2),0)</f>
        <v>0</v>
      </c>
      <c r="H48" s="49">
        <f>IFERROR('Input Area'!$B24*'Input Area'!J24*VLOOKUP($F$38,'$ Data (view only)'!$A$2:$L$15,2),0)</f>
        <v>0</v>
      </c>
      <c r="I48" s="48">
        <f>IFERROR('Input Area'!$B24*'Input Area'!K24*VLOOKUP($I$38,'$ Data (view only)'!$A$2:$L$15,2),0)</f>
        <v>0</v>
      </c>
      <c r="J48" s="61">
        <f>IFERROR('Input Area'!$B24*'Input Area'!L24*VLOOKUP($I$38,'$ Data (view only)'!$A$2:$L$15,2),0)</f>
        <v>0</v>
      </c>
      <c r="K48" s="49">
        <f>IFERROR('Input Area'!$B24*'Input Area'!M24*VLOOKUP($I$38,'$ Data (view only)'!$A$2:$L$15,2),0)</f>
        <v>0</v>
      </c>
      <c r="L48" s="48">
        <f>IFERROR('Input Area'!$B24*'Input Area'!N24*VLOOKUP($L$38,'$ Data (view only)'!$A$2:$L$15,2),0)</f>
        <v>0</v>
      </c>
      <c r="M48" s="61">
        <f>IFERROR('Input Area'!$B24*'Input Area'!O24*VLOOKUP($L$38,'$ Data (view only)'!$A$2:$L$15,2),0)</f>
        <v>0</v>
      </c>
      <c r="N48" s="49">
        <f>IFERROR('Input Area'!$B24*'Input Area'!P24*VLOOKUP($L$38,'$ Data (view only)'!$A$2:$L$15,2),0)</f>
        <v>0</v>
      </c>
      <c r="O48" s="48">
        <f>IFERROR('Input Area'!$B24*'Input Area'!Q24*VLOOKUP($O$38,'$ Data (view only)'!$A$2:$L$15,2),0)</f>
        <v>0</v>
      </c>
      <c r="P48" s="61">
        <f>IFERROR('Input Area'!$B24*'Input Area'!R24*VLOOKUP($O$38,'$ Data (view only)'!$A$2:$L$15,2),0)</f>
        <v>0</v>
      </c>
      <c r="Q48" s="49">
        <f>IFERROR('Input Area'!$B24*'Input Area'!S24*VLOOKUP($O$38,'$ Data (view only)'!$A$2:$L$15,2),0)</f>
        <v>0</v>
      </c>
    </row>
    <row r="49" spans="1:20" s="10" customFormat="1" x14ac:dyDescent="0.25">
      <c r="A49" s="111" t="str">
        <f t="shared" si="5"/>
        <v xml:space="preserve">Cohort </v>
      </c>
      <c r="B49" s="169">
        <f t="shared" si="5"/>
        <v>8</v>
      </c>
      <c r="C49" s="48">
        <f>IFERROR('Input Area'!$B25*'Input Area'!E25*VLOOKUP($C$38,'$ Data (view only)'!$A$2:$L$15,2),0)</f>
        <v>0</v>
      </c>
      <c r="D49" s="61">
        <f>IFERROR('Input Area'!$B25*'Input Area'!F25*VLOOKUP($C$38,'$ Data (view only)'!$A$2:$L$15,2),0)</f>
        <v>0</v>
      </c>
      <c r="E49" s="49">
        <f>IFERROR('Input Area'!$B25*'Input Area'!G25*VLOOKUP($C$38,'$ Data (view only)'!$A$2:$L$15,2),0)</f>
        <v>0</v>
      </c>
      <c r="F49" s="48">
        <f>IFERROR('Input Area'!$B25*'Input Area'!H25*VLOOKUP($F$38,'$ Data (view only)'!$A$2:$L$15,2),0)</f>
        <v>0</v>
      </c>
      <c r="G49" s="61">
        <f>IFERROR('Input Area'!$B25*'Input Area'!I25*VLOOKUP($F$38,'$ Data (view only)'!$A$2:$L$15,2),0)</f>
        <v>0</v>
      </c>
      <c r="H49" s="49">
        <f>IFERROR('Input Area'!$B25*'Input Area'!J25*VLOOKUP($F$38,'$ Data (view only)'!$A$2:$L$15,2),0)</f>
        <v>0</v>
      </c>
      <c r="I49" s="48">
        <f>IFERROR('Input Area'!$B25*'Input Area'!K25*VLOOKUP($I$38,'$ Data (view only)'!$A$2:$L$15,2),0)</f>
        <v>0</v>
      </c>
      <c r="J49" s="61">
        <f>IFERROR('Input Area'!$B25*'Input Area'!L25*VLOOKUP($I$38,'$ Data (view only)'!$A$2:$L$15,2),0)</f>
        <v>0</v>
      </c>
      <c r="K49" s="49">
        <f>IFERROR('Input Area'!$B25*'Input Area'!M25*VLOOKUP($I$38,'$ Data (view only)'!$A$2:$L$15,2),0)</f>
        <v>0</v>
      </c>
      <c r="L49" s="48">
        <f>IFERROR('Input Area'!$B25*'Input Area'!N25*VLOOKUP($L$38,'$ Data (view only)'!$A$2:$L$15,2),0)</f>
        <v>0</v>
      </c>
      <c r="M49" s="61">
        <f>IFERROR('Input Area'!$B25*'Input Area'!O25*VLOOKUP($L$38,'$ Data (view only)'!$A$2:$L$15,2),0)</f>
        <v>0</v>
      </c>
      <c r="N49" s="49">
        <f>IFERROR('Input Area'!$B25*'Input Area'!P25*VLOOKUP($L$38,'$ Data (view only)'!$A$2:$L$15,2),0)</f>
        <v>0</v>
      </c>
      <c r="O49" s="48">
        <f>IFERROR('Input Area'!$B25*'Input Area'!Q25*VLOOKUP($O$38,'$ Data (view only)'!$A$2:$L$15,2),0)</f>
        <v>0</v>
      </c>
      <c r="P49" s="61">
        <f>IFERROR('Input Area'!$B25*'Input Area'!R25*VLOOKUP($O$38,'$ Data (view only)'!$A$2:$L$15,2),0)</f>
        <v>0</v>
      </c>
      <c r="Q49" s="49">
        <f>IFERROR('Input Area'!$B25*'Input Area'!S25*VLOOKUP($O$38,'$ Data (view only)'!$A$2:$L$15,2),0)</f>
        <v>0</v>
      </c>
      <c r="S49" s="82"/>
      <c r="T49" s="82"/>
    </row>
    <row r="50" spans="1:20" x14ac:dyDescent="0.25">
      <c r="A50" s="111" t="str">
        <f t="shared" si="5"/>
        <v xml:space="preserve">Cohort </v>
      </c>
      <c r="B50" s="169">
        <f t="shared" si="5"/>
        <v>9</v>
      </c>
      <c r="C50" s="48">
        <f>IFERROR('Input Area'!$B26*'Input Area'!E26*VLOOKUP($C$38,'$ Data (view only)'!$A$2:$L$15,2),0)</f>
        <v>0</v>
      </c>
      <c r="D50" s="61">
        <f>IFERROR('Input Area'!$B26*'Input Area'!F26*VLOOKUP($C$38,'$ Data (view only)'!$A$2:$L$15,2),0)</f>
        <v>0</v>
      </c>
      <c r="E50" s="49">
        <f>IFERROR('Input Area'!$B26*'Input Area'!G26*VLOOKUP($C$38,'$ Data (view only)'!$A$2:$L$15,2),0)</f>
        <v>0</v>
      </c>
      <c r="F50" s="48">
        <f>IFERROR('Input Area'!$B26*'Input Area'!H26*VLOOKUP($F$38,'$ Data (view only)'!$A$2:$L$15,2),0)</f>
        <v>0</v>
      </c>
      <c r="G50" s="61">
        <f>IFERROR('Input Area'!$B26*'Input Area'!I26*VLOOKUP($F$38,'$ Data (view only)'!$A$2:$L$15,2),0)</f>
        <v>0</v>
      </c>
      <c r="H50" s="49">
        <f>IFERROR('Input Area'!$B26*'Input Area'!J26*VLOOKUP($F$38,'$ Data (view only)'!$A$2:$L$15,2),0)</f>
        <v>0</v>
      </c>
      <c r="I50" s="48">
        <f>IFERROR('Input Area'!$B26*'Input Area'!K26*VLOOKUP($I$38,'$ Data (view only)'!$A$2:$L$15,2),0)</f>
        <v>0</v>
      </c>
      <c r="J50" s="61">
        <f>IFERROR('Input Area'!$B26*'Input Area'!L26*VLOOKUP($I$38,'$ Data (view only)'!$A$2:$L$15,2),0)</f>
        <v>0</v>
      </c>
      <c r="K50" s="49">
        <f>IFERROR('Input Area'!$B26*'Input Area'!M26*VLOOKUP($I$38,'$ Data (view only)'!$A$2:$L$15,2),0)</f>
        <v>0</v>
      </c>
      <c r="L50" s="48">
        <f>IFERROR('Input Area'!$B26*'Input Area'!N26*VLOOKUP($L$38,'$ Data (view only)'!$A$2:$L$15,2),0)</f>
        <v>0</v>
      </c>
      <c r="M50" s="61">
        <f>IFERROR('Input Area'!$B26*'Input Area'!O26*VLOOKUP($L$38,'$ Data (view only)'!$A$2:$L$15,2),0)</f>
        <v>0</v>
      </c>
      <c r="N50" s="49">
        <f>IFERROR('Input Area'!$B26*'Input Area'!P26*VLOOKUP($L$38,'$ Data (view only)'!$A$2:$L$15,2),0)</f>
        <v>0</v>
      </c>
      <c r="O50" s="48">
        <f>IFERROR('Input Area'!$B26*'Input Area'!Q26*VLOOKUP($O$38,'$ Data (view only)'!$A$2:$L$15,2),0)</f>
        <v>0</v>
      </c>
      <c r="P50" s="61">
        <f>IFERROR('Input Area'!$B26*'Input Area'!R26*VLOOKUP($O$38,'$ Data (view only)'!$A$2:$L$15,2),0)</f>
        <v>0</v>
      </c>
      <c r="Q50" s="49">
        <f>IFERROR('Input Area'!$B26*'Input Area'!S26*VLOOKUP($O$38,'$ Data (view only)'!$A$2:$L$15,2),0)</f>
        <v>0</v>
      </c>
    </row>
    <row r="51" spans="1:20" x14ac:dyDescent="0.25">
      <c r="A51" s="172"/>
      <c r="B51" s="242" t="s">
        <v>85</v>
      </c>
      <c r="C51" s="70">
        <f>SUBTOTAL(9,C42:C50)</f>
        <v>0</v>
      </c>
      <c r="D51" s="71">
        <f t="shared" ref="D51" si="6">SUBTOTAL(9,D42:D50)</f>
        <v>0</v>
      </c>
      <c r="E51" s="72">
        <f t="shared" ref="E51" si="7">SUBTOTAL(9,E42:E50)</f>
        <v>0</v>
      </c>
      <c r="F51" s="70">
        <f t="shared" ref="F51" si="8">SUBTOTAL(9,F42:F50)</f>
        <v>0</v>
      </c>
      <c r="G51" s="71">
        <f t="shared" ref="G51" si="9">SUBTOTAL(9,G42:G50)</f>
        <v>0</v>
      </c>
      <c r="H51" s="72">
        <f t="shared" ref="H51" si="10">SUBTOTAL(9,H42:H50)</f>
        <v>0</v>
      </c>
      <c r="I51" s="70">
        <f t="shared" ref="I51" si="11">SUBTOTAL(9,I42:I50)</f>
        <v>0</v>
      </c>
      <c r="J51" s="71">
        <f t="shared" ref="J51" si="12">SUBTOTAL(9,J42:J50)</f>
        <v>0</v>
      </c>
      <c r="K51" s="72">
        <f t="shared" ref="K51" si="13">SUBTOTAL(9,K42:K50)</f>
        <v>0</v>
      </c>
      <c r="L51" s="70">
        <f t="shared" ref="L51" si="14">SUBTOTAL(9,L42:L50)</f>
        <v>0</v>
      </c>
      <c r="M51" s="71">
        <f t="shared" ref="M51" si="15">SUBTOTAL(9,M42:M50)</f>
        <v>0</v>
      </c>
      <c r="N51" s="72">
        <f t="shared" ref="N51" si="16">SUBTOTAL(9,N42:N50)</f>
        <v>0</v>
      </c>
      <c r="O51" s="70">
        <f t="shared" ref="O51" si="17">SUBTOTAL(9,O42:O50)</f>
        <v>0</v>
      </c>
      <c r="P51" s="71">
        <f t="shared" ref="P51" si="18">SUBTOTAL(9,P42:P50)</f>
        <v>0</v>
      </c>
      <c r="Q51" s="72">
        <f t="shared" ref="Q51" si="19">SUBTOTAL(9,Q42:Q50)</f>
        <v>0</v>
      </c>
    </row>
    <row r="52" spans="1:20" x14ac:dyDescent="0.25">
      <c r="A52" s="205"/>
      <c r="B52" s="243" t="s">
        <v>87</v>
      </c>
      <c r="C52" s="424">
        <f>C51+D51+0.75*E51</f>
        <v>0</v>
      </c>
      <c r="D52" s="417"/>
      <c r="E52" s="417"/>
      <c r="F52" s="417">
        <f>0.25*E51+F51+G51+0.75*H51</f>
        <v>0</v>
      </c>
      <c r="G52" s="417"/>
      <c r="H52" s="417"/>
      <c r="I52" s="417">
        <f>0.25*H51+I51+J51+0.75*K51</f>
        <v>0</v>
      </c>
      <c r="J52" s="417"/>
      <c r="K52" s="417"/>
      <c r="L52" s="417">
        <f>0.25*K51+L51+M51+0.75*N51</f>
        <v>0</v>
      </c>
      <c r="M52" s="417"/>
      <c r="N52" s="417"/>
      <c r="O52" s="417">
        <f>0.25*N51+O51+P51+0.75*Q51</f>
        <v>0</v>
      </c>
      <c r="P52" s="417"/>
      <c r="Q52" s="425"/>
    </row>
    <row r="53" spans="1:20" s="82" customFormat="1" ht="15.75" thickBot="1" x14ac:dyDescent="0.3">
      <c r="A53" s="437" t="s">
        <v>192</v>
      </c>
      <c r="B53" s="437"/>
      <c r="C53" s="426">
        <f>C18</f>
        <v>0</v>
      </c>
      <c r="D53" s="427"/>
      <c r="E53" s="428"/>
      <c r="F53" s="429">
        <f t="shared" ref="F53" si="20">F18</f>
        <v>0</v>
      </c>
      <c r="G53" s="427"/>
      <c r="H53" s="428"/>
      <c r="I53" s="429">
        <f t="shared" ref="I53" si="21">I18</f>
        <v>0</v>
      </c>
      <c r="J53" s="427"/>
      <c r="K53" s="428"/>
      <c r="L53" s="429">
        <f t="shared" ref="L53" si="22">L18</f>
        <v>0</v>
      </c>
      <c r="M53" s="427"/>
      <c r="N53" s="428"/>
      <c r="O53" s="429">
        <f t="shared" ref="O53" si="23">O18</f>
        <v>0</v>
      </c>
      <c r="P53" s="427"/>
      <c r="Q53" s="430"/>
    </row>
    <row r="54" spans="1:20" s="82" customFormat="1" ht="15.75" thickBot="1" x14ac:dyDescent="0.3">
      <c r="A54" s="438" t="s">
        <v>185</v>
      </c>
      <c r="B54" s="438"/>
      <c r="C54" s="439">
        <f>C53-C52</f>
        <v>0</v>
      </c>
      <c r="D54" s="439"/>
      <c r="E54" s="440"/>
      <c r="F54" s="441">
        <f>F53-F52</f>
        <v>0</v>
      </c>
      <c r="G54" s="439"/>
      <c r="H54" s="440"/>
      <c r="I54" s="441">
        <f>I53-I52</f>
        <v>0</v>
      </c>
      <c r="J54" s="439"/>
      <c r="K54" s="440"/>
      <c r="L54" s="441">
        <f>L53-L52</f>
        <v>0</v>
      </c>
      <c r="M54" s="439"/>
      <c r="N54" s="440"/>
      <c r="O54" s="441">
        <f>O53-O52</f>
        <v>0</v>
      </c>
      <c r="P54" s="439"/>
      <c r="Q54" s="440"/>
    </row>
    <row r="55" spans="1:20" ht="15" customHeight="1" thickTop="1" x14ac:dyDescent="0.25">
      <c r="A55" s="418" t="s">
        <v>83</v>
      </c>
      <c r="B55" s="419"/>
      <c r="C55" s="434" t="s">
        <v>193</v>
      </c>
      <c r="D55" s="435"/>
      <c r="E55" s="435"/>
      <c r="F55" s="435"/>
      <c r="G55" s="435"/>
      <c r="H55" s="435"/>
      <c r="I55" s="435"/>
      <c r="J55" s="435"/>
      <c r="K55" s="435"/>
      <c r="L55" s="435"/>
      <c r="M55" s="435"/>
      <c r="N55" s="435"/>
      <c r="O55" s="435"/>
      <c r="P55" s="435"/>
      <c r="Q55" s="436"/>
    </row>
    <row r="56" spans="1:20" x14ac:dyDescent="0.25">
      <c r="A56" s="111" t="str">
        <f t="shared" ref="A56:B64" si="24">A8</f>
        <v xml:space="preserve">Cohort </v>
      </c>
      <c r="B56" s="169">
        <f t="shared" si="24"/>
        <v>1</v>
      </c>
      <c r="C56" s="48">
        <f>IFERROR('Input Area'!$C18*'Input Area'!E18*VLOOKUP($C$38,'$ Data (view only)'!$A$2:$L$15,4,),0)</f>
        <v>0</v>
      </c>
      <c r="D56" s="61">
        <f>IFERROR('Input Area'!$C18*'Input Area'!F18*VLOOKUP($C$38,'$ Data (view only)'!$A$2:$L$15,4,),0)</f>
        <v>0</v>
      </c>
      <c r="E56" s="49">
        <f>IFERROR('Input Area'!$C18*'Input Area'!G18*VLOOKUP($C$38,'$ Data (view only)'!$A$2:$L$15,4,),0)</f>
        <v>0</v>
      </c>
      <c r="F56" s="48">
        <f>IFERROR('Input Area'!$C18*'Input Area'!H18*VLOOKUP($F$38,'$ Data (view only)'!$A$2:$L$15,4,),0)</f>
        <v>0</v>
      </c>
      <c r="G56" s="61">
        <f>IFERROR('Input Area'!$C18*'Input Area'!I18*VLOOKUP($F$38,'$ Data (view only)'!$A$2:$L$15,4,),0)</f>
        <v>0</v>
      </c>
      <c r="H56" s="49">
        <f>IFERROR('Input Area'!$C18*'Input Area'!J18*VLOOKUP($F$38,'$ Data (view only)'!$A$2:$L$15,4,),0)</f>
        <v>0</v>
      </c>
      <c r="I56" s="48">
        <f>IFERROR('Input Area'!$C18*'Input Area'!K18*VLOOKUP($I$38,'$ Data (view only)'!$A$2:$L$15,4,),0)</f>
        <v>0</v>
      </c>
      <c r="J56" s="61">
        <f>IFERROR('Input Area'!$C18*'Input Area'!L18*VLOOKUP($I$38,'$ Data (view only)'!$A$2:$L$15,4,),0)</f>
        <v>0</v>
      </c>
      <c r="K56" s="49">
        <f>IFERROR('Input Area'!$C18*'Input Area'!M18*VLOOKUP($I$38,'$ Data (view only)'!$A$2:$L$15,4,),0)</f>
        <v>0</v>
      </c>
      <c r="L56" s="48">
        <f>IFERROR('Input Area'!$C18*'Input Area'!N18*VLOOKUP($L$38,'$ Data (view only)'!$A$2:$L$15,4,),0)</f>
        <v>0</v>
      </c>
      <c r="M56" s="61">
        <f>IFERROR('Input Area'!$C18*'Input Area'!O18*VLOOKUP($L$38,'$ Data (view only)'!$A$2:$L$15,4,),0)</f>
        <v>0</v>
      </c>
      <c r="N56" s="49">
        <f>IFERROR('Input Area'!$C18*'Input Area'!P18*VLOOKUP($L$38,'$ Data (view only)'!$A$2:$L$15,4,),0)</f>
        <v>0</v>
      </c>
      <c r="O56" s="48">
        <f>IFERROR('Input Area'!$C18*'Input Area'!Q18*VLOOKUP($O$38,'$ Data (view only)'!$A$2:$L$15,4,),0)</f>
        <v>0</v>
      </c>
      <c r="P56" s="61">
        <f>IFERROR('Input Area'!$C18*'Input Area'!R18*VLOOKUP($O$38,'$ Data (view only)'!$A$2:$L$15,4,),0)</f>
        <v>0</v>
      </c>
      <c r="Q56" s="49">
        <f>IFERROR('Input Area'!$C18*'Input Area'!S18*VLOOKUP($O$38,'$ Data (view only)'!$A$2:$L$15,4,),0)</f>
        <v>0</v>
      </c>
    </row>
    <row r="57" spans="1:20" x14ac:dyDescent="0.25">
      <c r="A57" s="111" t="str">
        <f t="shared" si="24"/>
        <v xml:space="preserve">Cohort </v>
      </c>
      <c r="B57" s="169">
        <f t="shared" si="24"/>
        <v>2</v>
      </c>
      <c r="C57" s="48">
        <f>IFERROR('Input Area'!$C19*'Input Area'!E19*VLOOKUP($C$38,'$ Data (view only)'!$A$2:$L$15,4,),0)</f>
        <v>0</v>
      </c>
      <c r="D57" s="61">
        <f>IFERROR('Input Area'!$C19*'Input Area'!F19*VLOOKUP($C$38,'$ Data (view only)'!$A$2:$L$15,4,),0)</f>
        <v>0</v>
      </c>
      <c r="E57" s="49">
        <f>IFERROR('Input Area'!$C19*'Input Area'!G19*VLOOKUP($C$38,'$ Data (view only)'!$A$2:$L$15,4,),0)</f>
        <v>0</v>
      </c>
      <c r="F57" s="48">
        <f>IFERROR('Input Area'!$C19*'Input Area'!H19*VLOOKUP($F$38,'$ Data (view only)'!$A$2:$L$15,4,),0)</f>
        <v>0</v>
      </c>
      <c r="G57" s="61">
        <f>IFERROR('Input Area'!$C19*'Input Area'!I19*VLOOKUP($F$38,'$ Data (view only)'!$A$2:$L$15,4,),0)</f>
        <v>0</v>
      </c>
      <c r="H57" s="49">
        <f>IFERROR('Input Area'!$C19*'Input Area'!J19*VLOOKUP($F$38,'$ Data (view only)'!$A$2:$L$15,4,),0)</f>
        <v>0</v>
      </c>
      <c r="I57" s="48">
        <f>IFERROR('Input Area'!$C19*'Input Area'!K19*VLOOKUP($I$38,'$ Data (view only)'!$A$2:$L$15,4,),0)</f>
        <v>0</v>
      </c>
      <c r="J57" s="61">
        <f>IFERROR('Input Area'!$C19*'Input Area'!L19*VLOOKUP($I$38,'$ Data (view only)'!$A$2:$L$15,4,),0)</f>
        <v>0</v>
      </c>
      <c r="K57" s="49">
        <f>IFERROR('Input Area'!$C19*'Input Area'!M19*VLOOKUP($I$38,'$ Data (view only)'!$A$2:$L$15,4,),0)</f>
        <v>0</v>
      </c>
      <c r="L57" s="48">
        <f>IFERROR('Input Area'!$C19*'Input Area'!N19*VLOOKUP($L$38,'$ Data (view only)'!$A$2:$L$15,4,),0)</f>
        <v>0</v>
      </c>
      <c r="M57" s="61">
        <f>IFERROR('Input Area'!$C19*'Input Area'!O19*VLOOKUP($L$38,'$ Data (view only)'!$A$2:$L$15,4,),0)</f>
        <v>0</v>
      </c>
      <c r="N57" s="49">
        <f>IFERROR('Input Area'!$C19*'Input Area'!P19*VLOOKUP($L$38,'$ Data (view only)'!$A$2:$L$15,4,),0)</f>
        <v>0</v>
      </c>
      <c r="O57" s="48">
        <f>IFERROR('Input Area'!$C19*'Input Area'!Q19*VLOOKUP($O$38,'$ Data (view only)'!$A$2:$L$15,4,),0)</f>
        <v>0</v>
      </c>
      <c r="P57" s="61">
        <f>IFERROR('Input Area'!$C19*'Input Area'!R19*VLOOKUP($O$38,'$ Data (view only)'!$A$2:$L$15,4,),0)</f>
        <v>0</v>
      </c>
      <c r="Q57" s="49">
        <f>IFERROR('Input Area'!$C19*'Input Area'!S19*VLOOKUP($O$38,'$ Data (view only)'!$A$2:$L$15,4,),0)</f>
        <v>0</v>
      </c>
    </row>
    <row r="58" spans="1:20" x14ac:dyDescent="0.25">
      <c r="A58" s="111" t="str">
        <f t="shared" si="24"/>
        <v xml:space="preserve">Cohort </v>
      </c>
      <c r="B58" s="169">
        <f t="shared" si="24"/>
        <v>3</v>
      </c>
      <c r="C58" s="48">
        <f>IFERROR('Input Area'!$C20*'Input Area'!E20*VLOOKUP($C$38,'$ Data (view only)'!$A$2:$L$15,4,),0)</f>
        <v>0</v>
      </c>
      <c r="D58" s="61">
        <f>IFERROR('Input Area'!$C20*'Input Area'!F20*VLOOKUP($C$38,'$ Data (view only)'!$A$2:$L$15,4,),0)</f>
        <v>0</v>
      </c>
      <c r="E58" s="49">
        <f>IFERROR('Input Area'!$C20*'Input Area'!G20*VLOOKUP($C$38,'$ Data (view only)'!$A$2:$L$15,4,),0)</f>
        <v>0</v>
      </c>
      <c r="F58" s="48">
        <f>IFERROR('Input Area'!$C20*'Input Area'!H20*VLOOKUP($F$38,'$ Data (view only)'!$A$2:$L$15,4,),0)</f>
        <v>0</v>
      </c>
      <c r="G58" s="61">
        <f>IFERROR('Input Area'!$C20*'Input Area'!I20*VLOOKUP($F$38,'$ Data (view only)'!$A$2:$L$15,4,),0)</f>
        <v>0</v>
      </c>
      <c r="H58" s="49">
        <f>IFERROR('Input Area'!$C20*'Input Area'!J20*VLOOKUP($F$38,'$ Data (view only)'!$A$2:$L$15,4,),0)</f>
        <v>0</v>
      </c>
      <c r="I58" s="48">
        <f>IFERROR('Input Area'!$C20*'Input Area'!K20*VLOOKUP($I$38,'$ Data (view only)'!$A$2:$L$15,4,),0)</f>
        <v>0</v>
      </c>
      <c r="J58" s="61">
        <f>IFERROR('Input Area'!$C20*'Input Area'!L20*VLOOKUP($I$38,'$ Data (view only)'!$A$2:$L$15,4,),0)</f>
        <v>0</v>
      </c>
      <c r="K58" s="49">
        <f>IFERROR('Input Area'!$C20*'Input Area'!M20*VLOOKUP($I$38,'$ Data (view only)'!$A$2:$L$15,4,),0)</f>
        <v>0</v>
      </c>
      <c r="L58" s="48">
        <f>IFERROR('Input Area'!$C20*'Input Area'!N20*VLOOKUP($L$38,'$ Data (view only)'!$A$2:$L$15,4,),0)</f>
        <v>0</v>
      </c>
      <c r="M58" s="61">
        <f>IFERROR('Input Area'!$C20*'Input Area'!O20*VLOOKUP($L$38,'$ Data (view only)'!$A$2:$L$15,4,),0)</f>
        <v>0</v>
      </c>
      <c r="N58" s="49">
        <f>IFERROR('Input Area'!$C20*'Input Area'!P20*VLOOKUP($L$38,'$ Data (view only)'!$A$2:$L$15,4,),0)</f>
        <v>0</v>
      </c>
      <c r="O58" s="48">
        <f>IFERROR('Input Area'!$C20*'Input Area'!Q20*VLOOKUP($O$38,'$ Data (view only)'!$A$2:$L$15,4,),0)</f>
        <v>0</v>
      </c>
      <c r="P58" s="61">
        <f>IFERROR('Input Area'!$C20*'Input Area'!R20*VLOOKUP($O$38,'$ Data (view only)'!$A$2:$L$15,4,),0)</f>
        <v>0</v>
      </c>
      <c r="Q58" s="49">
        <f>IFERROR('Input Area'!$C20*'Input Area'!S20*VLOOKUP($O$38,'$ Data (view only)'!$A$2:$L$15,4,),0)</f>
        <v>0</v>
      </c>
    </row>
    <row r="59" spans="1:20" x14ac:dyDescent="0.25">
      <c r="A59" s="111" t="str">
        <f t="shared" si="24"/>
        <v xml:space="preserve">Cohort </v>
      </c>
      <c r="B59" s="169">
        <f t="shared" si="24"/>
        <v>4</v>
      </c>
      <c r="C59" s="48">
        <f>IFERROR('Input Area'!$C21*'Input Area'!E21*VLOOKUP($C$38,'$ Data (view only)'!$A$2:$L$15,4,),0)</f>
        <v>0</v>
      </c>
      <c r="D59" s="61">
        <f>IFERROR('Input Area'!$C21*'Input Area'!F21*VLOOKUP($C$38,'$ Data (view only)'!$A$2:$L$15,4,),0)</f>
        <v>0</v>
      </c>
      <c r="E59" s="49">
        <f>IFERROR('Input Area'!$C21*'Input Area'!G21*VLOOKUP($C$38,'$ Data (view only)'!$A$2:$L$15,4,),0)</f>
        <v>0</v>
      </c>
      <c r="F59" s="48">
        <f>IFERROR('Input Area'!$C21*'Input Area'!H21*VLOOKUP($F$38,'$ Data (view only)'!$A$2:$L$15,4,),0)</f>
        <v>0</v>
      </c>
      <c r="G59" s="61">
        <f>IFERROR('Input Area'!$C21*'Input Area'!I21*VLOOKUP($F$38,'$ Data (view only)'!$A$2:$L$15,4,),0)</f>
        <v>0</v>
      </c>
      <c r="H59" s="49">
        <f>IFERROR('Input Area'!$C21*'Input Area'!J21*VLOOKUP($F$38,'$ Data (view only)'!$A$2:$L$15,4,),0)</f>
        <v>0</v>
      </c>
      <c r="I59" s="48">
        <f>IFERROR('Input Area'!$C21*'Input Area'!K21*VLOOKUP($I$38,'$ Data (view only)'!$A$2:$L$15,4,),0)</f>
        <v>0</v>
      </c>
      <c r="J59" s="61">
        <f>IFERROR('Input Area'!$C21*'Input Area'!L21*VLOOKUP($I$38,'$ Data (view only)'!$A$2:$L$15,4,),0)</f>
        <v>0</v>
      </c>
      <c r="K59" s="49">
        <f>IFERROR('Input Area'!$C21*'Input Area'!M21*VLOOKUP($I$38,'$ Data (view only)'!$A$2:$L$15,4,),0)</f>
        <v>0</v>
      </c>
      <c r="L59" s="48">
        <f>IFERROR('Input Area'!$C21*'Input Area'!N21*VLOOKUP($L$38,'$ Data (view only)'!$A$2:$L$15,4,),0)</f>
        <v>0</v>
      </c>
      <c r="M59" s="61">
        <f>IFERROR('Input Area'!$C21*'Input Area'!O21*VLOOKUP($L$38,'$ Data (view only)'!$A$2:$L$15,4,),0)</f>
        <v>0</v>
      </c>
      <c r="N59" s="49">
        <f>IFERROR('Input Area'!$C21*'Input Area'!P21*VLOOKUP($L$38,'$ Data (view only)'!$A$2:$L$15,4,),0)</f>
        <v>0</v>
      </c>
      <c r="O59" s="48">
        <f>IFERROR('Input Area'!$C21*'Input Area'!Q21*VLOOKUP($O$38,'$ Data (view only)'!$A$2:$L$15,4,),0)</f>
        <v>0</v>
      </c>
      <c r="P59" s="61">
        <f>IFERROR('Input Area'!$C21*'Input Area'!R21*VLOOKUP($O$38,'$ Data (view only)'!$A$2:$L$15,4,),0)</f>
        <v>0</v>
      </c>
      <c r="Q59" s="49">
        <f>IFERROR('Input Area'!$C21*'Input Area'!S21*VLOOKUP($O$38,'$ Data (view only)'!$A$2:$L$15,4,),0)</f>
        <v>0</v>
      </c>
    </row>
    <row r="60" spans="1:20" s="10" customFormat="1" x14ac:dyDescent="0.25">
      <c r="A60" s="111" t="str">
        <f t="shared" si="24"/>
        <v xml:space="preserve">Cohort </v>
      </c>
      <c r="B60" s="169">
        <f t="shared" si="24"/>
        <v>5</v>
      </c>
      <c r="C60" s="48">
        <f>IFERROR('Input Area'!$C22*'Input Area'!E22*VLOOKUP($C$38,'$ Data (view only)'!$A$2:$L$15,4,),0)</f>
        <v>0</v>
      </c>
      <c r="D60" s="61">
        <f>IFERROR('Input Area'!$C22*'Input Area'!F22*VLOOKUP($C$38,'$ Data (view only)'!$A$2:$L$15,4,),0)</f>
        <v>0</v>
      </c>
      <c r="E60" s="49">
        <f>IFERROR('Input Area'!$C22*'Input Area'!G22*VLOOKUP($C$38,'$ Data (view only)'!$A$2:$L$15,4,),0)</f>
        <v>0</v>
      </c>
      <c r="F60" s="48">
        <f>IFERROR('Input Area'!$C22*'Input Area'!H22*VLOOKUP($F$38,'$ Data (view only)'!$A$2:$L$15,4,),0)</f>
        <v>0</v>
      </c>
      <c r="G60" s="61">
        <f>IFERROR('Input Area'!$C22*'Input Area'!I22*VLOOKUP($F$38,'$ Data (view only)'!$A$2:$L$15,4,),0)</f>
        <v>0</v>
      </c>
      <c r="H60" s="49">
        <f>IFERROR('Input Area'!$C22*'Input Area'!J22*VLOOKUP($F$38,'$ Data (view only)'!$A$2:$L$15,4,),0)</f>
        <v>0</v>
      </c>
      <c r="I60" s="48">
        <f>IFERROR('Input Area'!$C22*'Input Area'!K22*VLOOKUP($I$38,'$ Data (view only)'!$A$2:$L$15,4,),0)</f>
        <v>0</v>
      </c>
      <c r="J60" s="61">
        <f>IFERROR('Input Area'!$C22*'Input Area'!L22*VLOOKUP($I$38,'$ Data (view only)'!$A$2:$L$15,4,),0)</f>
        <v>0</v>
      </c>
      <c r="K60" s="49">
        <f>IFERROR('Input Area'!$C22*'Input Area'!M22*VLOOKUP($I$38,'$ Data (view only)'!$A$2:$L$15,4,),0)</f>
        <v>0</v>
      </c>
      <c r="L60" s="48">
        <f>IFERROR('Input Area'!$C22*'Input Area'!N22*VLOOKUP($L$38,'$ Data (view only)'!$A$2:$L$15,4,),0)</f>
        <v>0</v>
      </c>
      <c r="M60" s="61">
        <f>IFERROR('Input Area'!$C22*'Input Area'!O22*VLOOKUP($L$38,'$ Data (view only)'!$A$2:$L$15,4,),0)</f>
        <v>0</v>
      </c>
      <c r="N60" s="49">
        <f>IFERROR('Input Area'!$C22*'Input Area'!P22*VLOOKUP($L$38,'$ Data (view only)'!$A$2:$L$15,4,),0)</f>
        <v>0</v>
      </c>
      <c r="O60" s="48">
        <f>IFERROR('Input Area'!$C22*'Input Area'!Q22*VLOOKUP($O$38,'$ Data (view only)'!$A$2:$L$15,4,),0)</f>
        <v>0</v>
      </c>
      <c r="P60" s="61">
        <f>IFERROR('Input Area'!$C22*'Input Area'!R22*VLOOKUP($O$38,'$ Data (view only)'!$A$2:$L$15,4,),0)</f>
        <v>0</v>
      </c>
      <c r="Q60" s="49">
        <f>IFERROR('Input Area'!$C22*'Input Area'!S22*VLOOKUP($O$38,'$ Data (view only)'!$A$2:$L$15,4,),0)</f>
        <v>0</v>
      </c>
      <c r="S60" s="82"/>
      <c r="T60" s="82"/>
    </row>
    <row r="61" spans="1:20" s="10" customFormat="1" x14ac:dyDescent="0.25">
      <c r="A61" s="111" t="str">
        <f t="shared" si="24"/>
        <v xml:space="preserve">Cohort </v>
      </c>
      <c r="B61" s="169">
        <f t="shared" si="24"/>
        <v>6</v>
      </c>
      <c r="C61" s="48">
        <f>IFERROR('Input Area'!$C23*'Input Area'!E23*VLOOKUP($C$38,'$ Data (view only)'!$A$2:$L$15,4,),0)</f>
        <v>0</v>
      </c>
      <c r="D61" s="61">
        <f>IFERROR('Input Area'!$C23*'Input Area'!F23*VLOOKUP($C$38,'$ Data (view only)'!$A$2:$L$15,4,),0)</f>
        <v>0</v>
      </c>
      <c r="E61" s="49">
        <f>IFERROR('Input Area'!$C23*'Input Area'!G23*VLOOKUP($C$38,'$ Data (view only)'!$A$2:$L$15,4,),0)</f>
        <v>0</v>
      </c>
      <c r="F61" s="48">
        <f>IFERROR('Input Area'!$C23*'Input Area'!H23*VLOOKUP($F$38,'$ Data (view only)'!$A$2:$L$15,4,),0)</f>
        <v>0</v>
      </c>
      <c r="G61" s="61">
        <f>IFERROR('Input Area'!$C23*'Input Area'!I23*VLOOKUP($F$38,'$ Data (view only)'!$A$2:$L$15,4,),0)</f>
        <v>0</v>
      </c>
      <c r="H61" s="49">
        <f>IFERROR('Input Area'!$C23*'Input Area'!J23*VLOOKUP($F$38,'$ Data (view only)'!$A$2:$L$15,4,),0)</f>
        <v>0</v>
      </c>
      <c r="I61" s="48">
        <f>IFERROR('Input Area'!$C23*'Input Area'!K23*VLOOKUP($I$38,'$ Data (view only)'!$A$2:$L$15,4,),0)</f>
        <v>0</v>
      </c>
      <c r="J61" s="61">
        <f>IFERROR('Input Area'!$C23*'Input Area'!L23*VLOOKUP($I$38,'$ Data (view only)'!$A$2:$L$15,4,),0)</f>
        <v>0</v>
      </c>
      <c r="K61" s="49">
        <f>IFERROR('Input Area'!$C23*'Input Area'!M23*VLOOKUP($I$38,'$ Data (view only)'!$A$2:$L$15,4,),0)</f>
        <v>0</v>
      </c>
      <c r="L61" s="48">
        <f>IFERROR('Input Area'!$C23*'Input Area'!N23*VLOOKUP($L$38,'$ Data (view only)'!$A$2:$L$15,4,),0)</f>
        <v>0</v>
      </c>
      <c r="M61" s="61">
        <f>IFERROR('Input Area'!$C23*'Input Area'!O23*VLOOKUP($L$38,'$ Data (view only)'!$A$2:$L$15,4,),0)</f>
        <v>0</v>
      </c>
      <c r="N61" s="49">
        <f>IFERROR('Input Area'!$C23*'Input Area'!P23*VLOOKUP($L$38,'$ Data (view only)'!$A$2:$L$15,4,),0)</f>
        <v>0</v>
      </c>
      <c r="O61" s="48">
        <f>IFERROR('Input Area'!$C23*'Input Area'!Q23*VLOOKUP($O$38,'$ Data (view only)'!$A$2:$L$15,4,),0)</f>
        <v>0</v>
      </c>
      <c r="P61" s="61">
        <f>IFERROR('Input Area'!$C23*'Input Area'!R23*VLOOKUP($O$38,'$ Data (view only)'!$A$2:$L$15,4,),0)</f>
        <v>0</v>
      </c>
      <c r="Q61" s="49">
        <f>IFERROR('Input Area'!$C23*'Input Area'!S23*VLOOKUP($O$38,'$ Data (view only)'!$A$2:$L$15,4,),0)</f>
        <v>0</v>
      </c>
      <c r="S61" s="82"/>
      <c r="T61" s="82"/>
    </row>
    <row r="62" spans="1:20" s="82" customFormat="1" x14ac:dyDescent="0.25">
      <c r="A62" s="111" t="str">
        <f t="shared" si="24"/>
        <v xml:space="preserve">Cohort </v>
      </c>
      <c r="B62" s="169">
        <f t="shared" si="24"/>
        <v>7</v>
      </c>
      <c r="C62" s="48">
        <f>IFERROR('Input Area'!$C24*'Input Area'!E24*VLOOKUP($C$38,'$ Data (view only)'!$A$2:$L$15,4,),0)</f>
        <v>0</v>
      </c>
      <c r="D62" s="61">
        <f>IFERROR('Input Area'!$C24*'Input Area'!F24*VLOOKUP($C$38,'$ Data (view only)'!$A$2:$L$15,4,),0)</f>
        <v>0</v>
      </c>
      <c r="E62" s="49">
        <f>IFERROR('Input Area'!$C24*'Input Area'!G24*VLOOKUP($C$38,'$ Data (view only)'!$A$2:$L$15,4,),0)</f>
        <v>0</v>
      </c>
      <c r="F62" s="48">
        <f>IFERROR('Input Area'!$C24*'Input Area'!H24*VLOOKUP($F$38,'$ Data (view only)'!$A$2:$L$15,4,),0)</f>
        <v>0</v>
      </c>
      <c r="G62" s="61">
        <f>IFERROR('Input Area'!$C24*'Input Area'!I24*VLOOKUP($F$38,'$ Data (view only)'!$A$2:$L$15,4,),0)</f>
        <v>0</v>
      </c>
      <c r="H62" s="49">
        <f>IFERROR('Input Area'!$C24*'Input Area'!J24*VLOOKUP($F$38,'$ Data (view only)'!$A$2:$L$15,4,),0)</f>
        <v>0</v>
      </c>
      <c r="I62" s="48">
        <f>IFERROR('Input Area'!$C24*'Input Area'!K24*VLOOKUP($I$38,'$ Data (view only)'!$A$2:$L$15,4,),0)</f>
        <v>0</v>
      </c>
      <c r="J62" s="61">
        <f>IFERROR('Input Area'!$C24*'Input Area'!L24*VLOOKUP($I$38,'$ Data (view only)'!$A$2:$L$15,4,),0)</f>
        <v>0</v>
      </c>
      <c r="K62" s="49">
        <f>IFERROR('Input Area'!$C24*'Input Area'!M24*VLOOKUP($I$38,'$ Data (view only)'!$A$2:$L$15,4,),0)</f>
        <v>0</v>
      </c>
      <c r="L62" s="48">
        <f>IFERROR('Input Area'!$C24*'Input Area'!N24*VLOOKUP($L$38,'$ Data (view only)'!$A$2:$L$15,4,),0)</f>
        <v>0</v>
      </c>
      <c r="M62" s="61">
        <f>IFERROR('Input Area'!$C24*'Input Area'!O24*VLOOKUP($L$38,'$ Data (view only)'!$A$2:$L$15,4,),0)</f>
        <v>0</v>
      </c>
      <c r="N62" s="49">
        <f>IFERROR('Input Area'!$C24*'Input Area'!P24*VLOOKUP($L$38,'$ Data (view only)'!$A$2:$L$15,4,),0)</f>
        <v>0</v>
      </c>
      <c r="O62" s="48">
        <f>IFERROR('Input Area'!$C24*'Input Area'!Q24*VLOOKUP($O$38,'$ Data (view only)'!$A$2:$L$15,4,),0)</f>
        <v>0</v>
      </c>
      <c r="P62" s="61">
        <f>IFERROR('Input Area'!$C24*'Input Area'!R24*VLOOKUP($O$38,'$ Data (view only)'!$A$2:$L$15,4,),0)</f>
        <v>0</v>
      </c>
      <c r="Q62" s="49">
        <f>IFERROR('Input Area'!$C24*'Input Area'!S24*VLOOKUP($O$38,'$ Data (view only)'!$A$2:$L$15,4,),0)</f>
        <v>0</v>
      </c>
    </row>
    <row r="63" spans="1:20" s="10" customFormat="1" x14ac:dyDescent="0.25">
      <c r="A63" s="111" t="str">
        <f t="shared" si="24"/>
        <v xml:space="preserve">Cohort </v>
      </c>
      <c r="B63" s="169">
        <f t="shared" si="24"/>
        <v>8</v>
      </c>
      <c r="C63" s="48">
        <f>IFERROR('Input Area'!$C25*'Input Area'!E25*VLOOKUP($C$38,'$ Data (view only)'!$A$2:$L$15,4,),0)</f>
        <v>0</v>
      </c>
      <c r="D63" s="61">
        <f>IFERROR('Input Area'!$C25*'Input Area'!F25*VLOOKUP($C$38,'$ Data (view only)'!$A$2:$L$15,4,),0)</f>
        <v>0</v>
      </c>
      <c r="E63" s="49">
        <f>IFERROR('Input Area'!$C25*'Input Area'!G25*VLOOKUP($C$38,'$ Data (view only)'!$A$2:$L$15,4,),0)</f>
        <v>0</v>
      </c>
      <c r="F63" s="48">
        <f>IFERROR('Input Area'!$C25*'Input Area'!H25*VLOOKUP($F$38,'$ Data (view only)'!$A$2:$L$15,4,),0)</f>
        <v>0</v>
      </c>
      <c r="G63" s="61">
        <f>IFERROR('Input Area'!$C25*'Input Area'!I25*VLOOKUP($F$38,'$ Data (view only)'!$A$2:$L$15,4,),0)</f>
        <v>0</v>
      </c>
      <c r="H63" s="49">
        <f>IFERROR('Input Area'!$C25*'Input Area'!J25*VLOOKUP($F$38,'$ Data (view only)'!$A$2:$L$15,4,),0)</f>
        <v>0</v>
      </c>
      <c r="I63" s="48">
        <f>IFERROR('Input Area'!$C25*'Input Area'!K25*VLOOKUP($I$38,'$ Data (view only)'!$A$2:$L$15,4,),0)</f>
        <v>0</v>
      </c>
      <c r="J63" s="61">
        <f>IFERROR('Input Area'!$C25*'Input Area'!L25*VLOOKUP($I$38,'$ Data (view only)'!$A$2:$L$15,4,),0)</f>
        <v>0</v>
      </c>
      <c r="K63" s="49">
        <f>IFERROR('Input Area'!$C25*'Input Area'!M25*VLOOKUP($I$38,'$ Data (view only)'!$A$2:$L$15,4,),0)</f>
        <v>0</v>
      </c>
      <c r="L63" s="48">
        <f>IFERROR('Input Area'!$C25*'Input Area'!N25*VLOOKUP($L$38,'$ Data (view only)'!$A$2:$L$15,4,),0)</f>
        <v>0</v>
      </c>
      <c r="M63" s="61">
        <f>IFERROR('Input Area'!$C25*'Input Area'!O25*VLOOKUP($L$38,'$ Data (view only)'!$A$2:$L$15,4,),0)</f>
        <v>0</v>
      </c>
      <c r="N63" s="49">
        <f>IFERROR('Input Area'!$C25*'Input Area'!P25*VLOOKUP($L$38,'$ Data (view only)'!$A$2:$L$15,4,),0)</f>
        <v>0</v>
      </c>
      <c r="O63" s="48">
        <f>IFERROR('Input Area'!$C25*'Input Area'!Q25*VLOOKUP($O$38,'$ Data (view only)'!$A$2:$L$15,4,),0)</f>
        <v>0</v>
      </c>
      <c r="P63" s="61">
        <f>IFERROR('Input Area'!$C25*'Input Area'!R25*VLOOKUP($O$38,'$ Data (view only)'!$A$2:$L$15,4,),0)</f>
        <v>0</v>
      </c>
      <c r="Q63" s="49">
        <f>IFERROR('Input Area'!$C25*'Input Area'!S25*VLOOKUP($O$38,'$ Data (view only)'!$A$2:$L$15,4,),0)</f>
        <v>0</v>
      </c>
      <c r="S63" s="82"/>
      <c r="T63" s="82"/>
    </row>
    <row r="64" spans="1:20" x14ac:dyDescent="0.25">
      <c r="A64" s="111" t="str">
        <f t="shared" si="24"/>
        <v xml:space="preserve">Cohort </v>
      </c>
      <c r="B64" s="169">
        <f t="shared" si="24"/>
        <v>9</v>
      </c>
      <c r="C64" s="48">
        <f>IFERROR('Input Area'!$C26*'Input Area'!E26*VLOOKUP($C$38,'$ Data (view only)'!$A$2:$L$15,4,),0)</f>
        <v>0</v>
      </c>
      <c r="D64" s="61">
        <f>IFERROR('Input Area'!$C26*'Input Area'!F26*VLOOKUP($C$38,'$ Data (view only)'!$A$2:$L$15,4,),0)</f>
        <v>0</v>
      </c>
      <c r="E64" s="49">
        <f>IFERROR('Input Area'!$C26*'Input Area'!G26*VLOOKUP($C$38,'$ Data (view only)'!$A$2:$L$15,4,),0)</f>
        <v>0</v>
      </c>
      <c r="F64" s="48">
        <f>IFERROR('Input Area'!$C26*'Input Area'!H26*VLOOKUP($F$38,'$ Data (view only)'!$A$2:$L$15,4,),0)</f>
        <v>0</v>
      </c>
      <c r="G64" s="61">
        <f>IFERROR('Input Area'!$C26*'Input Area'!I26*VLOOKUP($F$38,'$ Data (view only)'!$A$2:$L$15,4,),0)</f>
        <v>0</v>
      </c>
      <c r="H64" s="49">
        <f>IFERROR('Input Area'!$C26*'Input Area'!J26*VLOOKUP($F$38,'$ Data (view only)'!$A$2:$L$15,4,),0)</f>
        <v>0</v>
      </c>
      <c r="I64" s="48">
        <f>IFERROR('Input Area'!$C26*'Input Area'!K26*VLOOKUP($I$38,'$ Data (view only)'!$A$2:$L$15,4,),0)</f>
        <v>0</v>
      </c>
      <c r="J64" s="61">
        <f>IFERROR('Input Area'!$C26*'Input Area'!L26*VLOOKUP($I$38,'$ Data (view only)'!$A$2:$L$15,4,),0)</f>
        <v>0</v>
      </c>
      <c r="K64" s="49">
        <f>IFERROR('Input Area'!$C26*'Input Area'!M26*VLOOKUP($I$38,'$ Data (view only)'!$A$2:$L$15,4,),0)</f>
        <v>0</v>
      </c>
      <c r="L64" s="48">
        <f>IFERROR('Input Area'!$C26*'Input Area'!N26*VLOOKUP($L$38,'$ Data (view only)'!$A$2:$L$15,4,),0)</f>
        <v>0</v>
      </c>
      <c r="M64" s="61">
        <f>IFERROR('Input Area'!$C26*'Input Area'!O26*VLOOKUP($L$38,'$ Data (view only)'!$A$2:$L$15,4,),0)</f>
        <v>0</v>
      </c>
      <c r="N64" s="49">
        <f>IFERROR('Input Area'!$C26*'Input Area'!P26*VLOOKUP($L$38,'$ Data (view only)'!$A$2:$L$15,4,),0)</f>
        <v>0</v>
      </c>
      <c r="O64" s="48">
        <f>IFERROR('Input Area'!$C26*'Input Area'!Q26*VLOOKUP($O$38,'$ Data (view only)'!$A$2:$L$15,4,),0)</f>
        <v>0</v>
      </c>
      <c r="P64" s="61">
        <f>IFERROR('Input Area'!$C26*'Input Area'!R26*VLOOKUP($O$38,'$ Data (view only)'!$A$2:$L$15,4,),0)</f>
        <v>0</v>
      </c>
      <c r="Q64" s="49">
        <f>IFERROR('Input Area'!$C26*'Input Area'!S26*VLOOKUP($O$38,'$ Data (view only)'!$A$2:$L$15,4,),0)</f>
        <v>0</v>
      </c>
    </row>
    <row r="65" spans="1:17" x14ac:dyDescent="0.25">
      <c r="A65" s="172"/>
      <c r="B65" s="178" t="s">
        <v>86</v>
      </c>
      <c r="C65" s="64">
        <f>SUBTOTAL(9,C56:C64)</f>
        <v>0</v>
      </c>
      <c r="D65" s="64">
        <f>SUBTOTAL(9,D56:D64)</f>
        <v>0</v>
      </c>
      <c r="E65" s="65">
        <f t="shared" ref="E65" si="25">SUBTOTAL(9,E56:E64)</f>
        <v>0</v>
      </c>
      <c r="F65" s="63">
        <f t="shared" ref="F65" si="26">SUBTOTAL(9,F56:F64)</f>
        <v>0</v>
      </c>
      <c r="G65" s="64">
        <f t="shared" ref="G65" si="27">SUBTOTAL(9,G56:G64)</f>
        <v>0</v>
      </c>
      <c r="H65" s="65">
        <f t="shared" ref="H65" si="28">SUBTOTAL(9,H56:H64)</f>
        <v>0</v>
      </c>
      <c r="I65" s="63">
        <f t="shared" ref="I65" si="29">SUBTOTAL(9,I56:I64)</f>
        <v>0</v>
      </c>
      <c r="J65" s="64">
        <f t="shared" ref="J65" si="30">SUBTOTAL(9,J56:J64)</f>
        <v>0</v>
      </c>
      <c r="K65" s="65">
        <f t="shared" ref="K65" si="31">SUBTOTAL(9,K56:K64)</f>
        <v>0</v>
      </c>
      <c r="L65" s="63">
        <f t="shared" ref="L65" si="32">SUBTOTAL(9,L56:L64)</f>
        <v>0</v>
      </c>
      <c r="M65" s="64">
        <f t="shared" ref="M65" si="33">SUBTOTAL(9,M56:M64)</f>
        <v>0</v>
      </c>
      <c r="N65" s="65">
        <f t="shared" ref="N65" si="34">SUBTOTAL(9,N56:N64)</f>
        <v>0</v>
      </c>
      <c r="O65" s="63">
        <f t="shared" ref="O65" si="35">SUBTOTAL(9,O56:O64)</f>
        <v>0</v>
      </c>
      <c r="P65" s="64">
        <f t="shared" ref="P65" si="36">SUBTOTAL(9,P56:P64)</f>
        <v>0</v>
      </c>
      <c r="Q65" s="65">
        <f t="shared" ref="Q65" si="37">SUBTOTAL(9,Q56:Q64)</f>
        <v>0</v>
      </c>
    </row>
    <row r="66" spans="1:17" x14ac:dyDescent="0.25">
      <c r="A66" s="205"/>
      <c r="B66" s="177" t="s">
        <v>87</v>
      </c>
      <c r="C66" s="417">
        <f>C65+D65+0.75*E65</f>
        <v>0</v>
      </c>
      <c r="D66" s="417"/>
      <c r="E66" s="417"/>
      <c r="F66" s="417">
        <f>0.25*E65+F65+G65+0.75*H65</f>
        <v>0</v>
      </c>
      <c r="G66" s="417"/>
      <c r="H66" s="417"/>
      <c r="I66" s="417">
        <f>0.25*H65+I65+J65+0.75*K65</f>
        <v>0</v>
      </c>
      <c r="J66" s="417"/>
      <c r="K66" s="417"/>
      <c r="L66" s="417">
        <f>0.25*K65+L65+M65+0.75*N65</f>
        <v>0</v>
      </c>
      <c r="M66" s="417"/>
      <c r="N66" s="417"/>
      <c r="O66" s="417">
        <f>0.25*N65+O65+P65+0.75*Q65</f>
        <v>0</v>
      </c>
      <c r="P66" s="417"/>
      <c r="Q66" s="417"/>
    </row>
    <row r="67" spans="1:17" ht="15.75" thickBot="1" x14ac:dyDescent="0.3">
      <c r="A67" s="437" t="s">
        <v>192</v>
      </c>
      <c r="B67" s="437"/>
      <c r="C67" s="426">
        <f>C30</f>
        <v>0</v>
      </c>
      <c r="D67" s="427"/>
      <c r="E67" s="428"/>
      <c r="F67" s="429">
        <f t="shared" ref="F67" si="38">F30</f>
        <v>0</v>
      </c>
      <c r="G67" s="427"/>
      <c r="H67" s="428"/>
      <c r="I67" s="429">
        <f t="shared" ref="I67" si="39">I30</f>
        <v>0</v>
      </c>
      <c r="J67" s="427"/>
      <c r="K67" s="428"/>
      <c r="L67" s="429">
        <f t="shared" ref="L67" si="40">L30</f>
        <v>0</v>
      </c>
      <c r="M67" s="427"/>
      <c r="N67" s="428"/>
      <c r="O67" s="429">
        <f t="shared" ref="O67" si="41">O30</f>
        <v>0</v>
      </c>
      <c r="P67" s="427"/>
      <c r="Q67" s="430"/>
    </row>
    <row r="68" spans="1:17" ht="15.75" thickBot="1" x14ac:dyDescent="0.3">
      <c r="A68" s="438" t="s">
        <v>185</v>
      </c>
      <c r="B68" s="438"/>
      <c r="C68" s="439">
        <f>C67-C66</f>
        <v>0</v>
      </c>
      <c r="D68" s="439"/>
      <c r="E68" s="440"/>
      <c r="F68" s="441">
        <f>F67-F66</f>
        <v>0</v>
      </c>
      <c r="G68" s="439"/>
      <c r="H68" s="440"/>
      <c r="I68" s="441">
        <f>I67-I66</f>
        <v>0</v>
      </c>
      <c r="J68" s="439"/>
      <c r="K68" s="440"/>
      <c r="L68" s="441">
        <f>L67-L66</f>
        <v>0</v>
      </c>
      <c r="M68" s="439"/>
      <c r="N68" s="440"/>
      <c r="O68" s="441">
        <f>O67-O66</f>
        <v>0</v>
      </c>
      <c r="P68" s="439"/>
      <c r="Q68" s="440"/>
    </row>
    <row r="69" spans="1:17" ht="15.75" thickTop="1" x14ac:dyDescent="0.25"/>
  </sheetData>
  <sheetProtection algorithmName="SHA-512" hashValue="2GyuVmZr8i76DXCvZum3AoGo11VQ7mthwL9TVpcReIUcmvSQxrHt3YGYuH/mKiOxFqQ5Dp3U20Y9qomEEJTpvw==" saltValue="vf5nTyE/1g3vMZXOVf7Fww==" spinCount="100000" sheet="1" objects="1" scenarios="1" selectLockedCells="1" selectUnlockedCells="1"/>
  <mergeCells count="67">
    <mergeCell ref="O68:Q68"/>
    <mergeCell ref="C54:E54"/>
    <mergeCell ref="F54:H54"/>
    <mergeCell ref="I54:K54"/>
    <mergeCell ref="L54:N54"/>
    <mergeCell ref="O54:Q54"/>
    <mergeCell ref="A68:B68"/>
    <mergeCell ref="C68:E68"/>
    <mergeCell ref="F68:H68"/>
    <mergeCell ref="I68:K68"/>
    <mergeCell ref="L68:N68"/>
    <mergeCell ref="C41:Q41"/>
    <mergeCell ref="C55:Q55"/>
    <mergeCell ref="A53:B53"/>
    <mergeCell ref="A54:B54"/>
    <mergeCell ref="A67:B67"/>
    <mergeCell ref="C67:E67"/>
    <mergeCell ref="F67:H67"/>
    <mergeCell ref="I67:K67"/>
    <mergeCell ref="L67:N67"/>
    <mergeCell ref="O67:Q67"/>
    <mergeCell ref="A55:B55"/>
    <mergeCell ref="I66:K66"/>
    <mergeCell ref="L66:N66"/>
    <mergeCell ref="A41:B41"/>
    <mergeCell ref="F1:I1"/>
    <mergeCell ref="L4:N4"/>
    <mergeCell ref="O4:Q4"/>
    <mergeCell ref="O66:Q66"/>
    <mergeCell ref="C52:E52"/>
    <mergeCell ref="F52:H52"/>
    <mergeCell ref="I52:K52"/>
    <mergeCell ref="L52:N52"/>
    <mergeCell ref="O52:Q52"/>
    <mergeCell ref="C53:E53"/>
    <mergeCell ref="F53:H53"/>
    <mergeCell ref="I53:K53"/>
    <mergeCell ref="L53:N53"/>
    <mergeCell ref="O53:Q53"/>
    <mergeCell ref="C66:E66"/>
    <mergeCell ref="F66:H66"/>
    <mergeCell ref="O30:Q30"/>
    <mergeCell ref="C38:E38"/>
    <mergeCell ref="F38:H38"/>
    <mergeCell ref="I38:K38"/>
    <mergeCell ref="L38:N38"/>
    <mergeCell ref="O38:Q38"/>
    <mergeCell ref="C32:E32"/>
    <mergeCell ref="F32:H32"/>
    <mergeCell ref="I32:K32"/>
    <mergeCell ref="L32:N32"/>
    <mergeCell ref="O32:Q32"/>
    <mergeCell ref="C30:E30"/>
    <mergeCell ref="F30:H30"/>
    <mergeCell ref="I30:K30"/>
    <mergeCell ref="A19:B19"/>
    <mergeCell ref="C18:E18"/>
    <mergeCell ref="F18:H18"/>
    <mergeCell ref="I18:K18"/>
    <mergeCell ref="L30:N30"/>
    <mergeCell ref="A4:B4"/>
    <mergeCell ref="L18:N18"/>
    <mergeCell ref="O18:Q18"/>
    <mergeCell ref="C4:E4"/>
    <mergeCell ref="F4:H4"/>
    <mergeCell ref="I4:K4"/>
    <mergeCell ref="A7:B7"/>
  </mergeCells>
  <pageMargins left="0.47244094488188998" right="0.35433070866141703" top="0.74803149606299202" bottom="0.74803149606299202" header="0.31496062992126" footer="0.31496062992126"/>
  <pageSetup scale="46" orientation="portrait" r:id="rId1"/>
  <headerFooter>
    <oddFooter>&amp;L&amp;F; &amp;A&amp;RPage&amp;P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106"/>
  <sheetViews>
    <sheetView workbookViewId="0"/>
  </sheetViews>
  <sheetFormatPr defaultRowHeight="15" outlineLevelRow="1" x14ac:dyDescent="0.25"/>
  <cols>
    <col min="1" max="1" width="2.5703125" style="9" customWidth="1"/>
    <col min="2" max="2" width="41" style="9" customWidth="1"/>
    <col min="3" max="3" width="5" style="173" customWidth="1"/>
    <col min="4" max="4" width="8.28515625" style="9" customWidth="1"/>
    <col min="5" max="5" width="13.7109375" style="9" customWidth="1"/>
    <col min="6" max="9" width="13.7109375" style="33" customWidth="1"/>
    <col min="10" max="10" width="9.140625" style="9"/>
    <col min="11" max="20" width="9.140625" style="9" customWidth="1"/>
    <col min="21" max="22" width="9.140625" style="9"/>
    <col min="23" max="23" width="11.42578125" style="9" customWidth="1"/>
    <col min="24" max="16384" width="9.140625" style="9"/>
  </cols>
  <sheetData>
    <row r="1" spans="1:19" ht="21.75" thickBot="1" x14ac:dyDescent="0.4">
      <c r="A1" s="1" t="s">
        <v>32</v>
      </c>
      <c r="D1" s="28" t="s">
        <v>51</v>
      </c>
      <c r="E1" s="442">
        <f>IF(ISBLANK('Input Area'!D5),"",'Input Area'!D5)</f>
        <v>0</v>
      </c>
      <c r="F1" s="443"/>
      <c r="G1" s="443"/>
      <c r="H1" s="443"/>
      <c r="I1" s="444"/>
    </row>
    <row r="2" spans="1:19" x14ac:dyDescent="0.25">
      <c r="K2" s="91" t="s">
        <v>100</v>
      </c>
      <c r="L2" s="92"/>
      <c r="M2" s="92"/>
      <c r="N2" s="92"/>
      <c r="O2" s="92"/>
      <c r="P2" s="92"/>
      <c r="Q2" s="92"/>
      <c r="R2" s="92"/>
      <c r="S2" s="93"/>
    </row>
    <row r="3" spans="1:19" x14ac:dyDescent="0.25">
      <c r="A3" s="9" t="s">
        <v>52</v>
      </c>
      <c r="D3" s="261" t="str">
        <f>IF('Input Area'!O5=0,"",'Input Area'!O5)</f>
        <v/>
      </c>
      <c r="E3" s="261"/>
      <c r="K3" s="94" t="s">
        <v>101</v>
      </c>
      <c r="L3" s="95"/>
      <c r="M3" s="95"/>
      <c r="N3" s="95"/>
      <c r="O3" s="95"/>
      <c r="P3" s="95"/>
      <c r="Q3" s="95"/>
      <c r="R3" s="95"/>
      <c r="S3" s="96"/>
    </row>
    <row r="4" spans="1:19" ht="15.75" thickBot="1" x14ac:dyDescent="0.3">
      <c r="A4" s="9" t="s">
        <v>53</v>
      </c>
      <c r="D4" s="445" t="str">
        <f>IF('Input Area'!O6=0,"",'Input Area'!O6)</f>
        <v/>
      </c>
      <c r="E4" s="445"/>
      <c r="K4" s="97" t="s">
        <v>102</v>
      </c>
      <c r="L4" s="98"/>
      <c r="M4" s="98"/>
      <c r="N4" s="98"/>
      <c r="O4" s="98"/>
      <c r="P4" s="98"/>
      <c r="Q4" s="98"/>
      <c r="R4" s="98"/>
      <c r="S4" s="99"/>
    </row>
    <row r="5" spans="1:19" x14ac:dyDescent="0.25">
      <c r="A5" s="9" t="s">
        <v>214</v>
      </c>
      <c r="E5" s="262" t="str">
        <f>IF(ISBLANK('Input Area'!H8),"",'Input Area'!H8)</f>
        <v/>
      </c>
      <c r="F5" s="260"/>
    </row>
    <row r="6" spans="1:19" x14ac:dyDescent="0.25">
      <c r="K6" s="80"/>
      <c r="L6" s="9" t="s">
        <v>111</v>
      </c>
    </row>
    <row r="7" spans="1:19" x14ac:dyDescent="0.25">
      <c r="E7" s="32">
        <f>'Input Area'!E15</f>
        <v>1718</v>
      </c>
      <c r="F7" s="32">
        <f>'Input Area'!H15</f>
        <v>1819</v>
      </c>
      <c r="G7" s="32">
        <f>'Input Area'!K15</f>
        <v>1920</v>
      </c>
      <c r="H7" s="32">
        <f>'Input Area'!N15</f>
        <v>2021</v>
      </c>
      <c r="I7" s="32">
        <f>'Input Area'!Q15</f>
        <v>2122</v>
      </c>
    </row>
    <row r="8" spans="1:19" x14ac:dyDescent="0.25">
      <c r="A8" s="29" t="s">
        <v>54</v>
      </c>
      <c r="C8" s="173" t="s">
        <v>144</v>
      </c>
      <c r="K8" s="46"/>
      <c r="L8" s="46"/>
      <c r="M8" s="46"/>
      <c r="N8" s="46"/>
      <c r="O8" s="46"/>
      <c r="P8" s="46"/>
      <c r="Q8" s="46"/>
      <c r="R8" s="46"/>
      <c r="S8" s="46"/>
    </row>
    <row r="9" spans="1:19" x14ac:dyDescent="0.25">
      <c r="B9" s="9" t="s">
        <v>56</v>
      </c>
      <c r="C9" s="173">
        <v>785</v>
      </c>
      <c r="E9" s="38">
        <f ca="1">SUMIF('Input Area'!$A$45:$B$51,$B9,'Input Area'!E$45:E$51)</f>
        <v>0</v>
      </c>
      <c r="F9" s="38">
        <f ca="1">SUMIF('Input Area'!$A$45:$B$51,$B9,'Input Area'!F$45:F$51)</f>
        <v>0</v>
      </c>
      <c r="G9" s="38">
        <f ca="1">SUMIF('Input Area'!$A$45:$B$51,$B9,'Input Area'!G$45:G$51)</f>
        <v>0</v>
      </c>
      <c r="H9" s="38">
        <f ca="1">SUMIF('Input Area'!$A$45:$B$51,$B9,'Input Area'!H$45:H$51)</f>
        <v>0</v>
      </c>
      <c r="I9" s="38">
        <f ca="1">SUMIF('Input Area'!$A$45:$B$51,$B9,'Input Area'!I$45:I$51)</f>
        <v>0</v>
      </c>
    </row>
    <row r="10" spans="1:19" x14ac:dyDescent="0.25">
      <c r="B10" s="9" t="s">
        <v>55</v>
      </c>
      <c r="C10" s="173">
        <v>784</v>
      </c>
      <c r="E10" s="38">
        <f ca="1">SUMIF('Input Area'!$A$45:$B$51,$B10,'Input Area'!E$45:E$51)</f>
        <v>0</v>
      </c>
      <c r="F10" s="38">
        <f ca="1">SUMIF('Input Area'!$A$45:$B$51,$B10,'Input Area'!F$45:F$51)</f>
        <v>0</v>
      </c>
      <c r="G10" s="38">
        <f ca="1">SUMIF('Input Area'!$A$45:$B$51,$B10,'Input Area'!G$45:G$51)</f>
        <v>0</v>
      </c>
      <c r="H10" s="38">
        <f ca="1">SUMIF('Input Area'!$A$45:$B$51,$B10,'Input Area'!H$45:H$51)</f>
        <v>0</v>
      </c>
      <c r="I10" s="38">
        <f ca="1">SUMIF('Input Area'!$A$45:$B$51,$B10,'Input Area'!I$45:I$51)</f>
        <v>0</v>
      </c>
    </row>
    <row r="11" spans="1:19" x14ac:dyDescent="0.25">
      <c r="B11" s="9" t="s">
        <v>57</v>
      </c>
      <c r="C11" s="173">
        <v>790</v>
      </c>
      <c r="E11" s="38">
        <f ca="1">SUMIF('Input Area'!$A$45:$B$51,$B11,'Input Area'!E$45:E$51)</f>
        <v>0</v>
      </c>
      <c r="F11" s="38">
        <f ca="1">SUMIF('Input Area'!$A$45:$B$51,$B11,'Input Area'!F$45:F$51)</f>
        <v>0</v>
      </c>
      <c r="G11" s="38">
        <f ca="1">SUMIF('Input Area'!$A$45:$B$51,$B11,'Input Area'!G$45:G$51)</f>
        <v>0</v>
      </c>
      <c r="H11" s="38">
        <f ca="1">SUMIF('Input Area'!$A$45:$B$51,$B11,'Input Area'!H$45:H$51)</f>
        <v>0</v>
      </c>
      <c r="I11" s="38">
        <f ca="1">SUMIF('Input Area'!$A$45:$B$51,$B11,'Input Area'!I$45:I$51)</f>
        <v>0</v>
      </c>
    </row>
    <row r="12" spans="1:19" x14ac:dyDescent="0.25">
      <c r="B12" s="34" t="str">
        <f>IF('Input Area'!H7="New","Tution &amp; student fees","Un-adjusted Tuition &amp; student fees")</f>
        <v>Un-adjusted Tuition &amp; student fees</v>
      </c>
      <c r="E12" s="38">
        <f ca="1">SUBTOTAL(9,E13:E17)</f>
        <v>0</v>
      </c>
      <c r="F12" s="38">
        <f ca="1">SUBTOTAL(9,F13:F17)</f>
        <v>0</v>
      </c>
      <c r="G12" s="38">
        <f ca="1">SUBTOTAL(9,G13:G17)</f>
        <v>0</v>
      </c>
      <c r="H12" s="38">
        <f ca="1">SUBTOTAL(9,H13:H17)</f>
        <v>0</v>
      </c>
      <c r="I12" s="38">
        <f ca="1">SUBTOTAL(9,I13:I17)</f>
        <v>0</v>
      </c>
    </row>
    <row r="13" spans="1:19" outlineLevel="1" x14ac:dyDescent="0.25">
      <c r="B13" s="30" t="s">
        <v>3</v>
      </c>
      <c r="C13" s="173">
        <v>710</v>
      </c>
      <c r="E13" s="40">
        <f>'Tuition Summary (view only)'!C18</f>
        <v>0</v>
      </c>
      <c r="F13" s="40">
        <f>'Tuition Summary (view only)'!F18</f>
        <v>0</v>
      </c>
      <c r="G13" s="40">
        <f>'Tuition Summary (view only)'!I18</f>
        <v>0</v>
      </c>
      <c r="H13" s="40">
        <f>'Tuition Summary (view only)'!L18</f>
        <v>0</v>
      </c>
      <c r="I13" s="40">
        <f>'Tuition Summary (view only)'!O18</f>
        <v>0</v>
      </c>
    </row>
    <row r="14" spans="1:19" outlineLevel="1" x14ac:dyDescent="0.25">
      <c r="B14" s="30" t="s">
        <v>4</v>
      </c>
      <c r="C14" s="173">
        <v>713</v>
      </c>
      <c r="E14" s="40">
        <f>'Tuition Summary (view only)'!C30</f>
        <v>0</v>
      </c>
      <c r="F14" s="40">
        <f>'Tuition Summary (view only)'!F30</f>
        <v>0</v>
      </c>
      <c r="G14" s="40">
        <f>'Tuition Summary (view only)'!I30</f>
        <v>0</v>
      </c>
      <c r="H14" s="40">
        <f>'Tuition Summary (view only)'!L30</f>
        <v>0</v>
      </c>
      <c r="I14" s="40">
        <f>'Tuition Summary (view only)'!O30</f>
        <v>0</v>
      </c>
      <c r="K14" s="29"/>
    </row>
    <row r="15" spans="1:19" outlineLevel="1" x14ac:dyDescent="0.25">
      <c r="B15" s="78" t="s">
        <v>92</v>
      </c>
      <c r="E15" s="76">
        <f>SUBTOTAL(9,E13:E14)</f>
        <v>0</v>
      </c>
      <c r="F15" s="76">
        <f t="shared" ref="F15:I15" si="0">SUBTOTAL(9,F13:F14)</f>
        <v>0</v>
      </c>
      <c r="G15" s="76">
        <f t="shared" si="0"/>
        <v>0</v>
      </c>
      <c r="H15" s="76">
        <f t="shared" si="0"/>
        <v>0</v>
      </c>
      <c r="I15" s="76">
        <f t="shared" si="0"/>
        <v>0</v>
      </c>
    </row>
    <row r="16" spans="1:19" outlineLevel="1" x14ac:dyDescent="0.25">
      <c r="B16" s="30" t="s">
        <v>58</v>
      </c>
      <c r="C16" s="173">
        <v>720</v>
      </c>
      <c r="E16" s="40">
        <f ca="1">SUMIF('Input Area'!$A$45:$B$51,$B16,'Input Area'!E$45:E$51)</f>
        <v>0</v>
      </c>
      <c r="F16" s="40">
        <f ca="1">SUMIF('Input Area'!$A$45:$B$51,$B16,'Input Area'!F$45:F$51)</f>
        <v>0</v>
      </c>
      <c r="G16" s="40">
        <f ca="1">SUMIF('Input Area'!$A$45:$B$51,$B16,'Input Area'!G$45:G$51)</f>
        <v>0</v>
      </c>
      <c r="H16" s="40">
        <f ca="1">SUMIF('Input Area'!$A$45:$B$51,$B16,'Input Area'!H$45:H$51)</f>
        <v>0</v>
      </c>
      <c r="I16" s="40">
        <f ca="1">SUMIF('Input Area'!$A$45:$B$51,$B16,'Input Area'!I$45:I$51)</f>
        <v>0</v>
      </c>
    </row>
    <row r="17" spans="1:28" outlineLevel="1" x14ac:dyDescent="0.25">
      <c r="B17" s="30" t="s">
        <v>59</v>
      </c>
      <c r="C17" s="173">
        <v>722</v>
      </c>
      <c r="E17" s="40">
        <f ca="1">SUMIF('Input Area'!$A$45:$B$51,$B17,'Input Area'!E$45:E$51)</f>
        <v>0</v>
      </c>
      <c r="F17" s="40">
        <f ca="1">SUMIF('Input Area'!$A$45:$B$51,$B17,'Input Area'!F$45:F$51)</f>
        <v>0</v>
      </c>
      <c r="G17" s="40">
        <f ca="1">SUMIF('Input Area'!$A$45:$B$51,$B17,'Input Area'!G$45:G$51)</f>
        <v>0</v>
      </c>
      <c r="H17" s="40">
        <f ca="1">SUMIF('Input Area'!$A$45:$B$51,$B17,'Input Area'!H$45:H$51)</f>
        <v>0</v>
      </c>
      <c r="I17" s="40">
        <f ca="1">SUMIF('Input Area'!$A$45:$B$51,$B17,'Input Area'!I$45:I$51)</f>
        <v>0</v>
      </c>
    </row>
    <row r="18" spans="1:28" x14ac:dyDescent="0.25">
      <c r="B18" s="9" t="s">
        <v>60</v>
      </c>
      <c r="C18" s="173">
        <v>760</v>
      </c>
      <c r="E18" s="38">
        <f ca="1">SUMIF('Input Area'!$A$45:$B$51,$B18,'Input Area'!E$45:E$51)</f>
        <v>0</v>
      </c>
      <c r="F18" s="38">
        <f ca="1">SUMIF('Input Area'!$A$45:$B$51,$B18,'Input Area'!F$45:F$51)</f>
        <v>0</v>
      </c>
      <c r="G18" s="38">
        <f ca="1">SUMIF('Input Area'!$A$45:$B$51,$B18,'Input Area'!G$45:G$51)</f>
        <v>0</v>
      </c>
      <c r="H18" s="38">
        <f ca="1">SUMIF('Input Area'!$A$45:$B$51,$B18,'Input Area'!H$45:H$51)</f>
        <v>0</v>
      </c>
      <c r="I18" s="38">
        <f ca="1">SUMIF('Input Area'!$A$45:$B$51,$B18,'Input Area'!I$45:I$51)</f>
        <v>0</v>
      </c>
    </row>
    <row r="19" spans="1:28" x14ac:dyDescent="0.25">
      <c r="B19" s="9" t="s">
        <v>8</v>
      </c>
      <c r="C19" s="173">
        <v>799</v>
      </c>
      <c r="E19" s="38">
        <f ca="1">SUMIF('Input Area'!$A$45:$B$51,$B19,'Input Area'!E$45:E$51)</f>
        <v>0</v>
      </c>
      <c r="F19" s="38">
        <f ca="1">SUMIF('Input Area'!$A$45:$B$51,$B19,'Input Area'!F$45:F$51)</f>
        <v>0</v>
      </c>
      <c r="G19" s="38">
        <f ca="1">SUMIF('Input Area'!$A$45:$B$51,$B19,'Input Area'!G$45:G$51)</f>
        <v>0</v>
      </c>
      <c r="H19" s="38">
        <f ca="1">SUMIF('Input Area'!$A$45:$B$51,$B19,'Input Area'!H$45:H$51)</f>
        <v>0</v>
      </c>
      <c r="I19" s="38">
        <f ca="1">SUMIF('Input Area'!$A$45:$B$51,$B19,'Input Area'!I$45:I$51)</f>
        <v>0</v>
      </c>
    </row>
    <row r="20" spans="1:28" x14ac:dyDescent="0.25">
      <c r="B20" s="57" t="str">
        <f>IF(B12="Un-adjusted Tuition &amp; student fees","Incremental Revenues","")</f>
        <v>Incremental Revenues</v>
      </c>
      <c r="C20" s="174"/>
      <c r="D20" s="31"/>
      <c r="E20" s="41">
        <f ca="1">SUBTOTAL(9,E9:E19)</f>
        <v>0</v>
      </c>
      <c r="F20" s="41">
        <f ca="1">SUBTOTAL(9,F9:F19)</f>
        <v>0</v>
      </c>
      <c r="G20" s="41">
        <f ca="1">SUBTOTAL(9,G9:G19)</f>
        <v>0</v>
      </c>
      <c r="H20" s="41">
        <f ca="1">SUBTOTAL(9,H9:H19)</f>
        <v>0</v>
      </c>
      <c r="I20" s="41">
        <f ca="1">SUBTOTAL(9,I9:I19)</f>
        <v>0</v>
      </c>
    </row>
    <row r="21" spans="1:28" x14ac:dyDescent="0.25">
      <c r="A21" s="29" t="s">
        <v>61</v>
      </c>
      <c r="E21" s="38"/>
      <c r="F21" s="39"/>
      <c r="G21" s="39"/>
      <c r="H21" s="39"/>
      <c r="I21" s="39"/>
      <c r="W21" s="81"/>
    </row>
    <row r="22" spans="1:28" x14ac:dyDescent="0.25">
      <c r="B22" s="9" t="s">
        <v>62</v>
      </c>
      <c r="E22" s="38">
        <f>SUBTOTAL(9,E23:E38)</f>
        <v>0</v>
      </c>
      <c r="F22" s="38">
        <f>SUBTOTAL(9,F23:F38)</f>
        <v>0</v>
      </c>
      <c r="G22" s="38">
        <f>SUBTOTAL(9,G23:G38)</f>
        <v>0</v>
      </c>
      <c r="H22" s="38">
        <f>SUBTOTAL(9,H23:H38)</f>
        <v>0</v>
      </c>
      <c r="I22" s="38">
        <f>SUBTOTAL(9,I23:I38)</f>
        <v>0</v>
      </c>
      <c r="K22" s="107"/>
      <c r="X22" s="32"/>
      <c r="Y22" s="32"/>
      <c r="Z22" s="32"/>
      <c r="AA22" s="32"/>
      <c r="AB22" s="32"/>
    </row>
    <row r="23" spans="1:28" outlineLevel="1" x14ac:dyDescent="0.25">
      <c r="B23" s="30" t="s">
        <v>63</v>
      </c>
      <c r="C23" s="173">
        <v>200</v>
      </c>
      <c r="E23" s="40">
        <f>'Input Area'!E38</f>
        <v>0</v>
      </c>
      <c r="F23" s="40">
        <f>'Input Area'!H38</f>
        <v>0</v>
      </c>
      <c r="G23" s="40">
        <f>'Input Area'!K38</f>
        <v>0</v>
      </c>
      <c r="H23" s="40">
        <f>'Input Area'!N38</f>
        <v>0</v>
      </c>
      <c r="I23" s="40">
        <f>'Input Area'!Q38</f>
        <v>0</v>
      </c>
      <c r="W23" s="103"/>
      <c r="X23" s="105"/>
      <c r="Y23" s="105"/>
      <c r="Z23" s="105"/>
      <c r="AA23" s="105"/>
      <c r="AB23" s="105"/>
    </row>
    <row r="24" spans="1:28" outlineLevel="1" x14ac:dyDescent="0.25">
      <c r="B24" s="30" t="s">
        <v>65</v>
      </c>
      <c r="C24" s="173">
        <v>205</v>
      </c>
      <c r="E24" s="40">
        <f>'Input Area'!E33</f>
        <v>0</v>
      </c>
      <c r="F24" s="40">
        <f>'Input Area'!H33</f>
        <v>0</v>
      </c>
      <c r="G24" s="40">
        <f>'Input Area'!K33</f>
        <v>0</v>
      </c>
      <c r="H24" s="40">
        <f>'Input Area'!N33</f>
        <v>0</v>
      </c>
      <c r="I24" s="40">
        <f>'Input Area'!Q33</f>
        <v>0</v>
      </c>
      <c r="W24" s="447"/>
      <c r="X24" s="105"/>
      <c r="Y24" s="105"/>
      <c r="Z24" s="105"/>
      <c r="AA24" s="105"/>
      <c r="AB24" s="105"/>
    </row>
    <row r="25" spans="1:28" outlineLevel="1" x14ac:dyDescent="0.25">
      <c r="B25" s="30" t="s">
        <v>66</v>
      </c>
      <c r="C25" s="173">
        <v>206</v>
      </c>
      <c r="E25" s="40">
        <f>'Input Area'!E34</f>
        <v>0</v>
      </c>
      <c r="F25" s="40">
        <f>'Input Area'!H34</f>
        <v>0</v>
      </c>
      <c r="G25" s="40">
        <f>'Input Area'!K34</f>
        <v>0</v>
      </c>
      <c r="H25" s="40">
        <f>'Input Area'!N34</f>
        <v>0</v>
      </c>
      <c r="I25" s="40">
        <f>'Input Area'!Q34</f>
        <v>0</v>
      </c>
      <c r="W25" s="447"/>
      <c r="X25" s="105"/>
      <c r="Y25" s="105"/>
      <c r="Z25" s="105"/>
      <c r="AA25" s="105"/>
      <c r="AB25" s="105"/>
    </row>
    <row r="26" spans="1:28" outlineLevel="1" x14ac:dyDescent="0.25">
      <c r="B26" s="30" t="s">
        <v>64</v>
      </c>
      <c r="C26" s="173">
        <v>207</v>
      </c>
      <c r="E26" s="40">
        <f>'Input Area'!E39+'Input Area'!E40</f>
        <v>0</v>
      </c>
      <c r="F26" s="40">
        <f>'Input Area'!H39+'Input Area'!H40</f>
        <v>0</v>
      </c>
      <c r="G26" s="40">
        <f>'Input Area'!K39+'Input Area'!K40</f>
        <v>0</v>
      </c>
      <c r="H26" s="40">
        <f>'Input Area'!N39+'Input Area'!N40</f>
        <v>0</v>
      </c>
      <c r="I26" s="40">
        <f>'Input Area'!Q39+'Input Area'!Q40</f>
        <v>0</v>
      </c>
      <c r="W26" s="447"/>
      <c r="X26" s="105"/>
      <c r="Y26" s="105"/>
      <c r="Z26" s="105"/>
      <c r="AA26" s="105"/>
      <c r="AB26" s="105"/>
    </row>
    <row r="27" spans="1:28" outlineLevel="1" x14ac:dyDescent="0.25">
      <c r="B27" s="30" t="s">
        <v>9</v>
      </c>
      <c r="C27" s="173">
        <v>204</v>
      </c>
      <c r="E27" s="40">
        <f>SUMIF('Input Area'!$A$57:$A$77,$B27,'Input Area'!E$57:E$77)</f>
        <v>0</v>
      </c>
      <c r="F27" s="40">
        <f>SUMIF('Input Area'!$A$57:$A$77,$B27,'Input Area'!F$57:F$77)</f>
        <v>0</v>
      </c>
      <c r="G27" s="40">
        <f>SUMIF('Input Area'!$A$57:$A$77,$B27,'Input Area'!G$57:G$77)</f>
        <v>0</v>
      </c>
      <c r="H27" s="40">
        <f>SUMIF('Input Area'!$A$57:$A$77,$B27,'Input Area'!H$57:H$77)</f>
        <v>0</v>
      </c>
      <c r="I27" s="40">
        <f>SUMIF('Input Area'!$A$57:$A$77,$B27,'Input Area'!I$57:I$77)</f>
        <v>0</v>
      </c>
      <c r="W27" s="104"/>
      <c r="X27" s="106"/>
      <c r="Y27" s="106"/>
      <c r="Z27" s="106"/>
      <c r="AA27" s="106"/>
      <c r="AB27" s="106"/>
    </row>
    <row r="28" spans="1:28" outlineLevel="1" x14ac:dyDescent="0.25">
      <c r="B28" s="30" t="s">
        <v>10</v>
      </c>
      <c r="C28" s="173">
        <v>209</v>
      </c>
      <c r="E28" s="40">
        <f>SUMIF('Input Area'!$A$57:$A$77,$B28,'Input Area'!E$57:E$77)</f>
        <v>0</v>
      </c>
      <c r="F28" s="40">
        <f>SUMIF('Input Area'!$A$57:$A$77,$B28,'Input Area'!F$57:F$77)</f>
        <v>0</v>
      </c>
      <c r="G28" s="40">
        <f>SUMIF('Input Area'!$A$57:$A$77,$B28,'Input Area'!G$57:G$77)</f>
        <v>0</v>
      </c>
      <c r="H28" s="40">
        <f>SUMIF('Input Area'!$A$57:$A$77,$B28,'Input Area'!H$57:H$77)</f>
        <v>0</v>
      </c>
      <c r="I28" s="40">
        <f>SUMIF('Input Area'!$A$57:$A$77,$B28,'Input Area'!I$57:I$77)</f>
        <v>0</v>
      </c>
      <c r="W28" s="104"/>
      <c r="X28" s="106"/>
      <c r="Y28" s="106"/>
      <c r="Z28" s="106"/>
      <c r="AA28" s="106"/>
      <c r="AB28" s="106"/>
    </row>
    <row r="29" spans="1:28" outlineLevel="1" x14ac:dyDescent="0.25">
      <c r="B29" s="30" t="s">
        <v>39</v>
      </c>
      <c r="C29" s="173">
        <v>210</v>
      </c>
      <c r="E29" s="40">
        <f>'Input Area'!E35</f>
        <v>0</v>
      </c>
      <c r="F29" s="40">
        <f>'Input Area'!H35</f>
        <v>0</v>
      </c>
      <c r="G29" s="40">
        <f>'Input Area'!K35</f>
        <v>0</v>
      </c>
      <c r="H29" s="40">
        <f>'Input Area'!N35</f>
        <v>0</v>
      </c>
      <c r="I29" s="40">
        <f>'Input Area'!Q35</f>
        <v>0</v>
      </c>
      <c r="W29" s="103"/>
      <c r="X29" s="105"/>
      <c r="Y29" s="105"/>
      <c r="Z29" s="105"/>
      <c r="AA29" s="105"/>
      <c r="AB29" s="105"/>
    </row>
    <row r="30" spans="1:28" outlineLevel="1" x14ac:dyDescent="0.25">
      <c r="B30" s="30" t="s">
        <v>107</v>
      </c>
      <c r="C30" s="173">
        <v>211</v>
      </c>
      <c r="E30" s="40">
        <f>'Input Area'!E36</f>
        <v>0</v>
      </c>
      <c r="F30" s="40">
        <f>'Input Area'!H36</f>
        <v>0</v>
      </c>
      <c r="G30" s="40">
        <f>'Input Area'!K36</f>
        <v>0</v>
      </c>
      <c r="H30" s="40">
        <f>'Input Area'!N36</f>
        <v>0</v>
      </c>
      <c r="I30" s="40">
        <f>'Input Area'!Q36</f>
        <v>0</v>
      </c>
      <c r="W30" s="103"/>
      <c r="X30" s="105"/>
      <c r="Y30" s="105"/>
      <c r="Z30" s="105"/>
      <c r="AA30" s="105"/>
      <c r="AB30" s="105"/>
    </row>
    <row r="31" spans="1:28" outlineLevel="1" x14ac:dyDescent="0.25">
      <c r="B31" s="30" t="s">
        <v>40</v>
      </c>
      <c r="C31" s="173">
        <v>215</v>
      </c>
      <c r="E31" s="40">
        <f>'Input Area'!E37</f>
        <v>0</v>
      </c>
      <c r="F31" s="40">
        <f>'Input Area'!H37</f>
        <v>0</v>
      </c>
      <c r="G31" s="40">
        <f>'Input Area'!K37</f>
        <v>0</v>
      </c>
      <c r="H31" s="40">
        <f>'Input Area'!N37</f>
        <v>0</v>
      </c>
      <c r="I31" s="40">
        <f>'Input Area'!Q37</f>
        <v>0</v>
      </c>
      <c r="K31" s="9" t="s">
        <v>108</v>
      </c>
      <c r="W31" s="103"/>
      <c r="X31" s="105"/>
      <c r="Y31" s="105"/>
      <c r="Z31" s="105"/>
      <c r="AA31" s="105"/>
      <c r="AB31" s="105"/>
    </row>
    <row r="32" spans="1:28" outlineLevel="1" x14ac:dyDescent="0.25">
      <c r="B32" s="30" t="s">
        <v>11</v>
      </c>
      <c r="C32" s="173">
        <v>219</v>
      </c>
      <c r="E32" s="40">
        <f>SUMIF('Input Area'!$A$57:$A$77,$B32,'Input Area'!E$57:E$77)</f>
        <v>0</v>
      </c>
      <c r="F32" s="40">
        <f>SUMIF('Input Area'!$A$57:$A$77,$B32,'Input Area'!F$57:F$77)</f>
        <v>0</v>
      </c>
      <c r="G32" s="40">
        <f>SUMIF('Input Area'!$A$57:$A$77,$B32,'Input Area'!G$57:G$77)</f>
        <v>0</v>
      </c>
      <c r="H32" s="40">
        <f>SUMIF('Input Area'!$A$57:$A$77,$B32,'Input Area'!H$57:H$77)</f>
        <v>0</v>
      </c>
      <c r="I32" s="40">
        <f>SUMIF('Input Area'!$A$57:$A$77,$B32,'Input Area'!I$57:I$77)</f>
        <v>0</v>
      </c>
      <c r="W32" s="103"/>
      <c r="X32" s="105"/>
      <c r="Y32" s="105"/>
      <c r="Z32" s="105"/>
      <c r="AA32" s="105"/>
      <c r="AB32" s="105"/>
    </row>
    <row r="33" spans="2:28" outlineLevel="1" x14ac:dyDescent="0.25">
      <c r="B33" s="30" t="s">
        <v>67</v>
      </c>
      <c r="C33" s="173">
        <v>240</v>
      </c>
      <c r="D33" s="55"/>
      <c r="E33" s="40">
        <f>ROUND(SUM(E23:E32)*$J$33,2)</f>
        <v>0</v>
      </c>
      <c r="F33" s="40">
        <f t="shared" ref="F33:I33" si="1">ROUND(SUM(F23:F32)*$J$33,2)</f>
        <v>0</v>
      </c>
      <c r="G33" s="40">
        <f t="shared" si="1"/>
        <v>0</v>
      </c>
      <c r="H33" s="40">
        <f t="shared" si="1"/>
        <v>0</v>
      </c>
      <c r="I33" s="40">
        <f t="shared" si="1"/>
        <v>0</v>
      </c>
      <c r="J33" s="263">
        <v>0.23749999999999999</v>
      </c>
      <c r="K33" s="107" t="s">
        <v>103</v>
      </c>
      <c r="W33" s="103"/>
      <c r="X33" s="105"/>
      <c r="Y33" s="105"/>
      <c r="Z33" s="105"/>
      <c r="AA33" s="105"/>
      <c r="AB33" s="105"/>
    </row>
    <row r="34" spans="2:28" outlineLevel="1" x14ac:dyDescent="0.25">
      <c r="B34" s="30" t="s">
        <v>13</v>
      </c>
      <c r="C34" s="173">
        <v>229</v>
      </c>
      <c r="E34" s="40">
        <f>SUMIF('Input Area'!$A$57:$A$77,$B34,'Input Area'!E$57:E$77)</f>
        <v>0</v>
      </c>
      <c r="F34" s="40">
        <f>SUMIF('Input Area'!$A$57:$A$77,$B34,'Input Area'!F$57:F$77)</f>
        <v>0</v>
      </c>
      <c r="G34" s="40">
        <f>SUMIF('Input Area'!$A$57:$A$77,$B34,'Input Area'!G$57:G$77)</f>
        <v>0</v>
      </c>
      <c r="H34" s="40">
        <f>SUMIF('Input Area'!$A$57:$A$77,$B34,'Input Area'!H$57:H$77)</f>
        <v>0</v>
      </c>
      <c r="I34" s="40">
        <f>SUMIF('Input Area'!$A$57:$A$77,$B34,'Input Area'!I$57:I$77)</f>
        <v>0</v>
      </c>
    </row>
    <row r="35" spans="2:28" outlineLevel="1" x14ac:dyDescent="0.25">
      <c r="B35" s="30" t="s">
        <v>14</v>
      </c>
      <c r="C35" s="173">
        <v>235</v>
      </c>
      <c r="E35" s="40">
        <f>SUMIF('Input Area'!$A$57:$A$77,$B35,'Input Area'!E$57:E$77)</f>
        <v>0</v>
      </c>
      <c r="F35" s="40">
        <f>SUMIF('Input Area'!$A$57:$A$77,$B35,'Input Area'!F$57:F$77)</f>
        <v>0</v>
      </c>
      <c r="G35" s="40">
        <f>SUMIF('Input Area'!$A$57:$A$77,$B35,'Input Area'!G$57:G$77)</f>
        <v>0</v>
      </c>
      <c r="H35" s="40">
        <f>SUMIF('Input Area'!$A$57:$A$77,$B35,'Input Area'!H$57:H$77)</f>
        <v>0</v>
      </c>
      <c r="I35" s="40">
        <f>SUMIF('Input Area'!$A$57:$A$77,$B35,'Input Area'!I$57:I$77)</f>
        <v>0</v>
      </c>
    </row>
    <row r="36" spans="2:28" outlineLevel="1" x14ac:dyDescent="0.25">
      <c r="B36" s="30" t="s">
        <v>15</v>
      </c>
      <c r="C36" s="173">
        <v>239</v>
      </c>
      <c r="E36" s="40">
        <f>SUMIF('Input Area'!$A$57:$A$77,$B36,'Input Area'!E$57:E$77)</f>
        <v>0</v>
      </c>
      <c r="F36" s="40">
        <f>SUMIF('Input Area'!$A$57:$A$77,$B36,'Input Area'!F$57:F$77)</f>
        <v>0</v>
      </c>
      <c r="G36" s="40">
        <f>SUMIF('Input Area'!$A$57:$A$77,$B36,'Input Area'!G$57:G$77)</f>
        <v>0</v>
      </c>
      <c r="H36" s="40">
        <f>SUMIF('Input Area'!$A$57:$A$77,$B36,'Input Area'!H$57:H$77)</f>
        <v>0</v>
      </c>
      <c r="I36" s="40">
        <f>SUMIF('Input Area'!$A$57:$A$77,$B36,'Input Area'!I$57:I$77)</f>
        <v>0</v>
      </c>
    </row>
    <row r="37" spans="2:28" outlineLevel="1" x14ac:dyDescent="0.25">
      <c r="B37" s="30" t="s">
        <v>105</v>
      </c>
      <c r="C37" s="173">
        <v>280</v>
      </c>
      <c r="E37" s="40">
        <f>IF(SUM('Input Area'!C33:C34)&gt;0,ROUNDUP((SUM('Input Area'!C33:C34)*1000),-3),0)</f>
        <v>0</v>
      </c>
      <c r="F37" s="40">
        <f>IF(SUM('Input Area'!F33:F34)&gt;0,ROUNDUP((SUM('Input Area'!F33:F34)*1000),-3),0)</f>
        <v>0</v>
      </c>
      <c r="G37" s="40">
        <f>IF(SUM('Input Area'!I33:I34)&gt;0,ROUNDUP((SUM('Input Area'!I33:I34)*1000),-3),0)</f>
        <v>0</v>
      </c>
      <c r="H37" s="40">
        <f>IF(SUM('Input Area'!L33:L34)&gt;0,ROUNDUP((SUM('Input Area'!L33:L34)*1000),-3),0)</f>
        <v>0</v>
      </c>
      <c r="I37" s="40">
        <f>IF(SUM('Input Area'!O33:O34)&gt;0,ROUNDUP((SUM('Input Area'!O33:O34)*1000),-3),0)</f>
        <v>0</v>
      </c>
      <c r="K37" s="9" t="s">
        <v>104</v>
      </c>
    </row>
    <row r="38" spans="2:28" outlineLevel="1" x14ac:dyDescent="0.25">
      <c r="B38" s="30" t="s">
        <v>48</v>
      </c>
      <c r="C38" s="173">
        <v>282</v>
      </c>
      <c r="E38" s="40">
        <f>SUMIF('Input Area'!$A$57:$A$77,$B38,'Input Area'!E$57:E$77)</f>
        <v>0</v>
      </c>
      <c r="F38" s="40">
        <f>SUMIF('Input Area'!$A$57:$A$77,$B38,'Input Area'!F$57:F$77)</f>
        <v>0</v>
      </c>
      <c r="G38" s="40">
        <f>SUMIF('Input Area'!$A$57:$A$77,$B38,'Input Area'!G$57:G$77)</f>
        <v>0</v>
      </c>
      <c r="H38" s="40">
        <f>SUMIF('Input Area'!$A$57:$A$77,$B38,'Input Area'!H$57:H$77)</f>
        <v>0</v>
      </c>
      <c r="I38" s="40">
        <f>SUMIF('Input Area'!$A$57:$A$77,$B38,'Input Area'!I$57:I$77)</f>
        <v>0</v>
      </c>
    </row>
    <row r="39" spans="2:28" x14ac:dyDescent="0.25">
      <c r="B39" s="9" t="s">
        <v>68</v>
      </c>
      <c r="E39" s="38">
        <f>SUBTOTAL(9,E40:E45)</f>
        <v>0</v>
      </c>
      <c r="F39" s="38">
        <f t="shared" ref="F39:I39" si="2">SUBTOTAL(9,F40:F45)</f>
        <v>0</v>
      </c>
      <c r="G39" s="38">
        <f t="shared" si="2"/>
        <v>0</v>
      </c>
      <c r="H39" s="38">
        <f t="shared" si="2"/>
        <v>0</v>
      </c>
      <c r="I39" s="38">
        <f t="shared" si="2"/>
        <v>0</v>
      </c>
    </row>
    <row r="40" spans="2:28" outlineLevel="1" x14ac:dyDescent="0.25">
      <c r="B40" s="30" t="s">
        <v>16</v>
      </c>
      <c r="C40" s="173">
        <v>405</v>
      </c>
      <c r="E40" s="40">
        <f>SUMIF('Input Area'!$A$57:$A$77,$B40,'Input Area'!E$57:E$77)</f>
        <v>0</v>
      </c>
      <c r="F40" s="40">
        <f>SUMIF('Input Area'!$A$57:$A$77,$B40,'Input Area'!F$57:F$77)</f>
        <v>0</v>
      </c>
      <c r="G40" s="40">
        <f>SUMIF('Input Area'!$A$57:$A$77,$B40,'Input Area'!G$57:G$77)</f>
        <v>0</v>
      </c>
      <c r="H40" s="40">
        <f>SUMIF('Input Area'!$A$57:$A$77,$B40,'Input Area'!H$57:H$77)</f>
        <v>0</v>
      </c>
      <c r="I40" s="40">
        <f>SUMIF('Input Area'!$A$57:$A$77,$B40,'Input Area'!I$57:I$77)</f>
        <v>0</v>
      </c>
    </row>
    <row r="41" spans="2:28" outlineLevel="1" x14ac:dyDescent="0.25">
      <c r="B41" s="30" t="s">
        <v>17</v>
      </c>
      <c r="C41" s="173">
        <v>409</v>
      </c>
      <c r="E41" s="40">
        <f>SUMIF('Input Area'!$A$57:$A$77,$B41,'Input Area'!E$57:E$77)</f>
        <v>0</v>
      </c>
      <c r="F41" s="40">
        <f>SUMIF('Input Area'!$A$57:$A$77,$B41,'Input Area'!F$57:F$77)</f>
        <v>0</v>
      </c>
      <c r="G41" s="40">
        <f>SUMIF('Input Area'!$A$57:$A$77,$B41,'Input Area'!G$57:G$77)</f>
        <v>0</v>
      </c>
      <c r="H41" s="40">
        <f>SUMIF('Input Area'!$A$57:$A$77,$B41,'Input Area'!H$57:H$77)</f>
        <v>0</v>
      </c>
      <c r="I41" s="40">
        <f>SUMIF('Input Area'!$A$57:$A$77,$B41,'Input Area'!I$57:I$77)</f>
        <v>0</v>
      </c>
    </row>
    <row r="42" spans="2:28" outlineLevel="1" x14ac:dyDescent="0.25">
      <c r="B42" s="30" t="s">
        <v>69</v>
      </c>
      <c r="C42" s="173">
        <v>410</v>
      </c>
      <c r="E42" s="40">
        <f>SUMIF('Input Area'!$A$57:$A$77,$B42,'Input Area'!E$57:E$77)</f>
        <v>0</v>
      </c>
      <c r="F42" s="40">
        <f>SUMIF('Input Area'!$A$57:$A$77,$B42,'Input Area'!F$57:F$77)</f>
        <v>0</v>
      </c>
      <c r="G42" s="40">
        <f>SUMIF('Input Area'!$A$57:$A$77,$B42,'Input Area'!G$57:G$77)</f>
        <v>0</v>
      </c>
      <c r="H42" s="40">
        <f>SUMIF('Input Area'!$A$57:$A$77,$B42,'Input Area'!H$57:H$77)</f>
        <v>0</v>
      </c>
      <c r="I42" s="40">
        <f>SUMIF('Input Area'!$A$57:$A$77,$B42,'Input Area'!I$57:I$77)</f>
        <v>0</v>
      </c>
    </row>
    <row r="43" spans="2:28" outlineLevel="1" x14ac:dyDescent="0.25">
      <c r="B43" s="30" t="s">
        <v>109</v>
      </c>
      <c r="C43" s="173">
        <v>417</v>
      </c>
      <c r="E43" s="40">
        <f>SUMIF('Input Area'!$A$57:$A$77,$B43,'Input Area'!E$57:E$77)</f>
        <v>0</v>
      </c>
      <c r="F43" s="40">
        <f>SUMIF('Input Area'!$A$57:$A$77,$B43,'Input Area'!F$57:F$77)</f>
        <v>0</v>
      </c>
      <c r="G43" s="40">
        <f>SUMIF('Input Area'!$A$57:$A$77,$B43,'Input Area'!G$57:G$77)</f>
        <v>0</v>
      </c>
      <c r="H43" s="40">
        <f>SUMIF('Input Area'!$A$57:$A$77,$B43,'Input Area'!H$57:H$77)</f>
        <v>0</v>
      </c>
      <c r="I43" s="40">
        <f>SUMIF('Input Area'!$A$57:$A$77,$B43,'Input Area'!I$57:I$77)</f>
        <v>0</v>
      </c>
    </row>
    <row r="44" spans="2:28" outlineLevel="1" x14ac:dyDescent="0.25">
      <c r="B44" s="30" t="s">
        <v>88</v>
      </c>
      <c r="C44" s="173">
        <v>444</v>
      </c>
      <c r="E44" s="40">
        <f>SUMIF('Input Area'!$A$57:$A$77,$B44,'Input Area'!E$57:E$77)</f>
        <v>0</v>
      </c>
      <c r="F44" s="40">
        <f>SUMIF('Input Area'!$A$57:$A$77,$B44,'Input Area'!F$57:F$77)</f>
        <v>0</v>
      </c>
      <c r="G44" s="40">
        <f>SUMIF('Input Area'!$A$57:$A$77,$B44,'Input Area'!G$57:G$77)</f>
        <v>0</v>
      </c>
      <c r="H44" s="40">
        <f>SUMIF('Input Area'!$A$57:$A$77,$B44,'Input Area'!H$57:H$77)</f>
        <v>0</v>
      </c>
      <c r="I44" s="40">
        <f>SUMIF('Input Area'!$A$57:$A$77,$B44,'Input Area'!I$57:I$77)</f>
        <v>0</v>
      </c>
    </row>
    <row r="45" spans="2:28" outlineLevel="1" x14ac:dyDescent="0.25">
      <c r="B45" s="30" t="s">
        <v>70</v>
      </c>
      <c r="C45" s="173">
        <v>598</v>
      </c>
      <c r="E45" s="40">
        <f>SUMIF('Input Area'!$A$57:$A$77,$B45,'Input Area'!E$57:E$77)</f>
        <v>0</v>
      </c>
      <c r="F45" s="40">
        <f>SUMIF('Input Area'!$A$57:$A$77,$B45,'Input Area'!F$57:F$77)</f>
        <v>0</v>
      </c>
      <c r="G45" s="40">
        <f>SUMIF('Input Area'!$A$57:$A$77,$B45,'Input Area'!G$57:G$77)</f>
        <v>0</v>
      </c>
      <c r="H45" s="40">
        <f>SUMIF('Input Area'!$A$57:$A$77,$B45,'Input Area'!H$57:H$77)</f>
        <v>0</v>
      </c>
      <c r="I45" s="40">
        <f>SUMIF('Input Area'!$A$57:$A$77,$B45,'Input Area'!I$57:I$77)</f>
        <v>0</v>
      </c>
    </row>
    <row r="46" spans="2:28" x14ac:dyDescent="0.25">
      <c r="B46" s="9" t="s">
        <v>71</v>
      </c>
      <c r="E46" s="38">
        <f>SUBTOTAL(9,E47:E50)</f>
        <v>0</v>
      </c>
      <c r="F46" s="38">
        <f t="shared" ref="F46:I46" si="3">SUBTOTAL(9,F47:F50)</f>
        <v>0</v>
      </c>
      <c r="G46" s="38">
        <f t="shared" si="3"/>
        <v>0</v>
      </c>
      <c r="H46" s="38">
        <f t="shared" si="3"/>
        <v>0</v>
      </c>
      <c r="I46" s="38">
        <f t="shared" si="3"/>
        <v>0</v>
      </c>
    </row>
    <row r="47" spans="2:28" outlineLevel="1" x14ac:dyDescent="0.25">
      <c r="B47" s="30" t="s">
        <v>18</v>
      </c>
      <c r="C47" s="173">
        <v>420</v>
      </c>
      <c r="E47" s="40">
        <f>SUMIF('Input Area'!$A$57:$A$77,$B47,'Input Area'!E$57:E$77)</f>
        <v>0</v>
      </c>
      <c r="F47" s="40">
        <f>SUMIF('Input Area'!$A$57:$A$77,$B47,'Input Area'!F$57:F$77)</f>
        <v>0</v>
      </c>
      <c r="G47" s="40">
        <f>SUMIF('Input Area'!$A$57:$A$77,$B47,'Input Area'!G$57:G$77)</f>
        <v>0</v>
      </c>
      <c r="H47" s="40">
        <f>SUMIF('Input Area'!$A$57:$A$77,$B47,'Input Area'!H$57:H$77)</f>
        <v>0</v>
      </c>
      <c r="I47" s="40">
        <f>SUMIF('Input Area'!$A$57:$A$77,$B47,'Input Area'!I$57:I$77)</f>
        <v>0</v>
      </c>
    </row>
    <row r="48" spans="2:28" outlineLevel="1" x14ac:dyDescent="0.25">
      <c r="B48" s="30" t="s">
        <v>110</v>
      </c>
      <c r="C48" s="173">
        <v>425</v>
      </c>
      <c r="E48" s="40">
        <f>SUMIF('Input Area'!$A$57:$A$77,$B48,'Input Area'!E$57:E$77)</f>
        <v>0</v>
      </c>
      <c r="F48" s="40">
        <f>SUMIF('Input Area'!$A$57:$A$77,$B48,'Input Area'!F$57:F$77)</f>
        <v>0</v>
      </c>
      <c r="G48" s="40">
        <f>SUMIF('Input Area'!$A$57:$A$77,$B48,'Input Area'!G$57:G$77)</f>
        <v>0</v>
      </c>
      <c r="H48" s="40">
        <f>SUMIF('Input Area'!$A$57:$A$77,$B48,'Input Area'!H$57:H$77)</f>
        <v>0</v>
      </c>
      <c r="I48" s="40">
        <f>SUMIF('Input Area'!$A$57:$A$77,$B48,'Input Area'!I$57:I$77)</f>
        <v>0</v>
      </c>
    </row>
    <row r="49" spans="2:9" outlineLevel="1" x14ac:dyDescent="0.25">
      <c r="B49" s="30" t="s">
        <v>19</v>
      </c>
      <c r="C49" s="173">
        <v>428</v>
      </c>
      <c r="E49" s="40">
        <f>SUMIF('Input Area'!$A$57:$A$77,$B49,'Input Area'!E$57:E$77)</f>
        <v>0</v>
      </c>
      <c r="F49" s="40">
        <f>SUMIF('Input Area'!$A$57:$A$77,$B49,'Input Area'!F$57:F$77)</f>
        <v>0</v>
      </c>
      <c r="G49" s="40">
        <f>SUMIF('Input Area'!$A$57:$A$77,$B49,'Input Area'!G$57:G$77)</f>
        <v>0</v>
      </c>
      <c r="H49" s="40">
        <f>SUMIF('Input Area'!$A$57:$A$77,$B49,'Input Area'!H$57:H$77)</f>
        <v>0</v>
      </c>
      <c r="I49" s="40">
        <f>SUMIF('Input Area'!$A$57:$A$77,$B49,'Input Area'!I$57:I$77)</f>
        <v>0</v>
      </c>
    </row>
    <row r="50" spans="2:9" outlineLevel="1" x14ac:dyDescent="0.25">
      <c r="B50" s="30" t="s">
        <v>20</v>
      </c>
      <c r="C50" s="173">
        <v>497</v>
      </c>
      <c r="E50" s="40">
        <f>SUMIF('Input Area'!$A$57:$A$77,$B50,'Input Area'!E$57:E$77)</f>
        <v>0</v>
      </c>
      <c r="F50" s="40">
        <f>SUMIF('Input Area'!$A$57:$A$77,$B50,'Input Area'!F$57:F$77)</f>
        <v>0</v>
      </c>
      <c r="G50" s="40">
        <f>SUMIF('Input Area'!$A$57:$A$77,$B50,'Input Area'!G$57:G$77)</f>
        <v>0</v>
      </c>
      <c r="H50" s="40">
        <f>SUMIF('Input Area'!$A$57:$A$77,$B50,'Input Area'!H$57:H$77)</f>
        <v>0</v>
      </c>
      <c r="I50" s="40">
        <f>SUMIF('Input Area'!$A$57:$A$77,$B50,'Input Area'!I$57:I$77)</f>
        <v>0</v>
      </c>
    </row>
    <row r="51" spans="2:9" x14ac:dyDescent="0.25">
      <c r="B51" s="9" t="s">
        <v>73</v>
      </c>
      <c r="C51" s="173">
        <v>429</v>
      </c>
      <c r="E51" s="38">
        <f>SUMIF('Input Area'!$A$57:$A$77,$B51,'Input Area'!E$57:E$77)</f>
        <v>0</v>
      </c>
      <c r="F51" s="38">
        <f>SUMIF('Input Area'!$A$57:$A$77,$B51,'Input Area'!F$57:F$77)</f>
        <v>0</v>
      </c>
      <c r="G51" s="38">
        <f>SUMIF('Input Area'!$A$57:$A$77,$B51,'Input Area'!G$57:G$77)</f>
        <v>0</v>
      </c>
      <c r="H51" s="38">
        <f>SUMIF('Input Area'!$A$57:$A$77,$B51,'Input Area'!H$57:H$77)</f>
        <v>0</v>
      </c>
      <c r="I51" s="38">
        <f>SUMIF('Input Area'!$A$57:$A$77,$B51,'Input Area'!I$57:I$77)</f>
        <v>0</v>
      </c>
    </row>
    <row r="52" spans="2:9" x14ac:dyDescent="0.25">
      <c r="B52" s="9" t="s">
        <v>74</v>
      </c>
      <c r="E52" s="38">
        <f>SUBTOTAL(9,E53:E55)</f>
        <v>0</v>
      </c>
      <c r="F52" s="38">
        <f t="shared" ref="F52:I52" si="4">SUBTOTAL(9,F53:F55)</f>
        <v>0</v>
      </c>
      <c r="G52" s="38">
        <f t="shared" si="4"/>
        <v>0</v>
      </c>
      <c r="H52" s="38">
        <f t="shared" si="4"/>
        <v>0</v>
      </c>
      <c r="I52" s="38">
        <f t="shared" si="4"/>
        <v>0</v>
      </c>
    </row>
    <row r="53" spans="2:9" outlineLevel="1" x14ac:dyDescent="0.25">
      <c r="B53" s="30" t="s">
        <v>21</v>
      </c>
      <c r="C53" s="173">
        <v>430</v>
      </c>
      <c r="E53" s="40">
        <f>SUMIF('Input Area'!$A$57:$A$77,$B53,'Input Area'!E$57:E$77)</f>
        <v>0</v>
      </c>
      <c r="F53" s="40">
        <f>SUMIF('Input Area'!$A$57:$A$77,$B53,'Input Area'!F$57:F$77)</f>
        <v>0</v>
      </c>
      <c r="G53" s="40">
        <f>SUMIF('Input Area'!$A$57:$A$77,$B53,'Input Area'!G$57:G$77)</f>
        <v>0</v>
      </c>
      <c r="H53" s="40">
        <f>SUMIF('Input Area'!$A$57:$A$77,$B53,'Input Area'!H$57:H$77)</f>
        <v>0</v>
      </c>
      <c r="I53" s="40">
        <f>SUMIF('Input Area'!$A$57:$A$77,$B53,'Input Area'!I$57:I$77)</f>
        <v>0</v>
      </c>
    </row>
    <row r="54" spans="2:9" outlineLevel="1" x14ac:dyDescent="0.25">
      <c r="B54" s="30" t="s">
        <v>112</v>
      </c>
      <c r="C54" s="173">
        <v>450</v>
      </c>
      <c r="E54" s="40">
        <f>SUMIF('Input Area'!$A$57:$A$77,$B54,'Input Area'!E$57:E$77)</f>
        <v>0</v>
      </c>
      <c r="F54" s="40">
        <f>SUMIF('Input Area'!$A$57:$A$77,$B54,'Input Area'!F$57:F$77)</f>
        <v>0</v>
      </c>
      <c r="G54" s="40">
        <f>SUMIF('Input Area'!$A$57:$A$77,$B54,'Input Area'!G$57:G$77)</f>
        <v>0</v>
      </c>
      <c r="H54" s="40">
        <f>SUMIF('Input Area'!$A$57:$A$77,$B54,'Input Area'!H$57:H$77)</f>
        <v>0</v>
      </c>
      <c r="I54" s="40">
        <f>SUMIF('Input Area'!$A$57:$A$77,$B54,'Input Area'!I$57:I$77)</f>
        <v>0</v>
      </c>
    </row>
    <row r="55" spans="2:9" outlineLevel="1" x14ac:dyDescent="0.25">
      <c r="B55" s="22" t="s">
        <v>75</v>
      </c>
      <c r="C55" s="173">
        <v>506</v>
      </c>
      <c r="E55" s="40">
        <f>SUMIF('Input Area'!$A$57:$A$77,$B55,'Input Area'!E$57:E$77)</f>
        <v>0</v>
      </c>
      <c r="F55" s="40">
        <f>SUMIF('Input Area'!$A$57:$A$77,$B55,'Input Area'!F$57:F$77)</f>
        <v>0</v>
      </c>
      <c r="G55" s="40">
        <f>SUMIF('Input Area'!$A$57:$A$77,$B55,'Input Area'!G$57:G$77)</f>
        <v>0</v>
      </c>
      <c r="H55" s="40">
        <f>SUMIF('Input Area'!$A$57:$A$77,$B55,'Input Area'!H$57:H$77)</f>
        <v>0</v>
      </c>
      <c r="I55" s="40">
        <f>SUMIF('Input Area'!$A$57:$A$77,$B55,'Input Area'!I$57:I$77)</f>
        <v>0</v>
      </c>
    </row>
    <row r="56" spans="2:9" x14ac:dyDescent="0.25">
      <c r="B56" s="9" t="s">
        <v>76</v>
      </c>
      <c r="E56" s="38">
        <f>SUBTOTAL(9,E57:E59)</f>
        <v>0</v>
      </c>
      <c r="F56" s="38">
        <f t="shared" ref="F56:I56" si="5">SUBTOTAL(9,F57:F59)</f>
        <v>0</v>
      </c>
      <c r="G56" s="38">
        <f t="shared" si="5"/>
        <v>0</v>
      </c>
      <c r="H56" s="38">
        <f t="shared" si="5"/>
        <v>0</v>
      </c>
      <c r="I56" s="38">
        <f t="shared" si="5"/>
        <v>0</v>
      </c>
    </row>
    <row r="57" spans="2:9" outlineLevel="1" x14ac:dyDescent="0.25">
      <c r="B57" s="30" t="s">
        <v>113</v>
      </c>
      <c r="C57" s="173">
        <v>520</v>
      </c>
      <c r="E57" s="40">
        <f>SUMIF('Input Area'!$A$57:$A$77,$B57,'Input Area'!E$57:E$77)</f>
        <v>0</v>
      </c>
      <c r="F57" s="40">
        <f>SUMIF('Input Area'!$A$57:$A$77,$B57,'Input Area'!F$57:F$77)</f>
        <v>0</v>
      </c>
      <c r="G57" s="40">
        <f>SUMIF('Input Area'!$A$57:$A$77,$B57,'Input Area'!G$57:G$77)</f>
        <v>0</v>
      </c>
      <c r="H57" s="40">
        <f>SUMIF('Input Area'!$A$57:$A$77,$B57,'Input Area'!H$57:H$77)</f>
        <v>0</v>
      </c>
      <c r="I57" s="40">
        <f>SUMIF('Input Area'!$A$57:$A$77,$B57,'Input Area'!I$57:I$77)</f>
        <v>0</v>
      </c>
    </row>
    <row r="58" spans="2:9" outlineLevel="1" x14ac:dyDescent="0.25">
      <c r="B58" s="30" t="s">
        <v>115</v>
      </c>
      <c r="C58" s="173">
        <v>525</v>
      </c>
      <c r="E58" s="40">
        <f>SUMIF('Input Area'!$A$57:$A$77,$B58,'Input Area'!E$57:E$77)</f>
        <v>0</v>
      </c>
      <c r="F58" s="40">
        <f>SUMIF('Input Area'!$A$57:$A$77,$B58,'Input Area'!F$57:F$77)</f>
        <v>0</v>
      </c>
      <c r="G58" s="40">
        <f>SUMIF('Input Area'!$A$57:$A$77,$B58,'Input Area'!G$57:G$77)</f>
        <v>0</v>
      </c>
      <c r="H58" s="40">
        <f>SUMIF('Input Area'!$A$57:$A$77,$B58,'Input Area'!H$57:H$77)</f>
        <v>0</v>
      </c>
      <c r="I58" s="40">
        <f>SUMIF('Input Area'!$A$57:$A$77,$B58,'Input Area'!I$57:I$77)</f>
        <v>0</v>
      </c>
    </row>
    <row r="59" spans="2:9" outlineLevel="1" x14ac:dyDescent="0.25">
      <c r="B59" s="30" t="s">
        <v>114</v>
      </c>
      <c r="C59" s="173">
        <v>526</v>
      </c>
      <c r="E59" s="40">
        <f>SUMIF('Input Area'!$A$57:$A$77,$B59,'Input Area'!E$57:E$77)</f>
        <v>0</v>
      </c>
      <c r="F59" s="40">
        <f>SUMIF('Input Area'!$A$57:$A$77,$B59,'Input Area'!F$57:F$77)</f>
        <v>0</v>
      </c>
      <c r="G59" s="40">
        <f>SUMIF('Input Area'!$A$57:$A$77,$B59,'Input Area'!G$57:G$77)</f>
        <v>0</v>
      </c>
      <c r="H59" s="40">
        <f>SUMIF('Input Area'!$A$57:$A$77,$B59,'Input Area'!H$57:H$77)</f>
        <v>0</v>
      </c>
      <c r="I59" s="40">
        <f>SUMIF('Input Area'!$A$57:$A$77,$B59,'Input Area'!I$57:I$77)</f>
        <v>0</v>
      </c>
    </row>
    <row r="60" spans="2:9" x14ac:dyDescent="0.25">
      <c r="B60" s="9" t="s">
        <v>77</v>
      </c>
      <c r="E60" s="38">
        <f>SUBTOTAL(9,E61:E72)</f>
        <v>0</v>
      </c>
      <c r="F60" s="38">
        <f t="shared" ref="F60:I60" si="6">SUBTOTAL(9,F61:F72)</f>
        <v>0</v>
      </c>
      <c r="G60" s="38">
        <f t="shared" si="6"/>
        <v>0</v>
      </c>
      <c r="H60" s="38">
        <f t="shared" si="6"/>
        <v>0</v>
      </c>
      <c r="I60" s="38">
        <f t="shared" si="6"/>
        <v>0</v>
      </c>
    </row>
    <row r="61" spans="2:9" outlineLevel="1" x14ac:dyDescent="0.25">
      <c r="B61" s="30" t="s">
        <v>23</v>
      </c>
      <c r="C61" s="173">
        <v>400</v>
      </c>
      <c r="E61" s="40">
        <f>SUMIF('Input Area'!$A$57:$A$77,$B61,'Input Area'!E$57:E$77)</f>
        <v>0</v>
      </c>
      <c r="F61" s="40">
        <f>SUMIF('Input Area'!$A$57:$A$77,$B61,'Input Area'!F$57:F$77)</f>
        <v>0</v>
      </c>
      <c r="G61" s="40">
        <f>SUMIF('Input Area'!$A$57:$A$77,$B61,'Input Area'!G$57:G$77)</f>
        <v>0</v>
      </c>
      <c r="H61" s="40">
        <f>SUMIF('Input Area'!$A$57:$A$77,$B61,'Input Area'!H$57:H$77)</f>
        <v>0</v>
      </c>
      <c r="I61" s="40">
        <f>SUMIF('Input Area'!$A$57:$A$77,$B61,'Input Area'!I$57:I$77)</f>
        <v>0</v>
      </c>
    </row>
    <row r="62" spans="2:9" outlineLevel="1" x14ac:dyDescent="0.25">
      <c r="B62" s="30" t="s">
        <v>94</v>
      </c>
      <c r="C62" s="173">
        <v>401</v>
      </c>
      <c r="E62" s="40">
        <f>SUMIF('Input Area'!$A$57:$A$77,$B62,'Input Area'!E$57:E$77)</f>
        <v>0</v>
      </c>
      <c r="F62" s="40">
        <f>SUMIF('Input Area'!$A$57:$A$77,$B62,'Input Area'!F$57:F$77)</f>
        <v>0</v>
      </c>
      <c r="G62" s="40">
        <f>SUMIF('Input Area'!$A$57:$A$77,$B62,'Input Area'!G$57:G$77)</f>
        <v>0</v>
      </c>
      <c r="H62" s="40">
        <f>SUMIF('Input Area'!$A$57:$A$77,$B62,'Input Area'!H$57:H$77)</f>
        <v>0</v>
      </c>
      <c r="I62" s="40">
        <f>SUMIF('Input Area'!$A$57:$A$77,$B62,'Input Area'!I$57:I$77)</f>
        <v>0</v>
      </c>
    </row>
    <row r="63" spans="2:9" outlineLevel="1" x14ac:dyDescent="0.25">
      <c r="B63" s="30" t="s">
        <v>95</v>
      </c>
      <c r="C63" s="173">
        <v>402</v>
      </c>
      <c r="E63" s="40">
        <f>SUMIF('Input Area'!$A$57:$A$77,$B63,'Input Area'!E$57:E$77)</f>
        <v>0</v>
      </c>
      <c r="F63" s="40">
        <f>SUMIF('Input Area'!$A$57:$A$77,$B63,'Input Area'!F$57:F$77)</f>
        <v>0</v>
      </c>
      <c r="G63" s="40">
        <f>SUMIF('Input Area'!$A$57:$A$77,$B63,'Input Area'!G$57:G$77)</f>
        <v>0</v>
      </c>
      <c r="H63" s="40">
        <f>SUMIF('Input Area'!$A$57:$A$77,$B63,'Input Area'!H$57:H$77)</f>
        <v>0</v>
      </c>
      <c r="I63" s="40">
        <f>SUMIF('Input Area'!$A$57:$A$77,$B63,'Input Area'!I$57:I$77)</f>
        <v>0</v>
      </c>
    </row>
    <row r="64" spans="2:9" outlineLevel="1" x14ac:dyDescent="0.25">
      <c r="B64" s="30" t="s">
        <v>24</v>
      </c>
      <c r="C64" s="173">
        <v>403</v>
      </c>
      <c r="E64" s="40">
        <f>SUMIF('Input Area'!$A$57:$A$77,$B64,'Input Area'!E$57:E$77)</f>
        <v>0</v>
      </c>
      <c r="F64" s="40">
        <f>SUMIF('Input Area'!$A$57:$A$77,$B64,'Input Area'!F$57:F$77)</f>
        <v>0</v>
      </c>
      <c r="G64" s="40">
        <f>SUMIF('Input Area'!$A$57:$A$77,$B64,'Input Area'!G$57:G$77)</f>
        <v>0</v>
      </c>
      <c r="H64" s="40">
        <f>SUMIF('Input Area'!$A$57:$A$77,$B64,'Input Area'!H$57:H$77)</f>
        <v>0</v>
      </c>
      <c r="I64" s="40">
        <f>SUMIF('Input Area'!$A$57:$A$77,$B64,'Input Area'!I$57:I$77)</f>
        <v>0</v>
      </c>
    </row>
    <row r="65" spans="1:9" outlineLevel="1" x14ac:dyDescent="0.25">
      <c r="B65" s="30" t="s">
        <v>25</v>
      </c>
      <c r="C65" s="173">
        <v>406</v>
      </c>
      <c r="E65" s="40">
        <f>SUMIF('Input Area'!$A$57:$A$77,$B65,'Input Area'!E$57:E$77)</f>
        <v>0</v>
      </c>
      <c r="F65" s="40">
        <f>SUMIF('Input Area'!$A$57:$A$77,$B65,'Input Area'!F$57:F$77)</f>
        <v>0</v>
      </c>
      <c r="G65" s="40">
        <f>SUMIF('Input Area'!$A$57:$A$77,$B65,'Input Area'!G$57:G$77)</f>
        <v>0</v>
      </c>
      <c r="H65" s="40">
        <f>SUMIF('Input Area'!$A$57:$A$77,$B65,'Input Area'!H$57:H$77)</f>
        <v>0</v>
      </c>
      <c r="I65" s="40">
        <f>SUMIF('Input Area'!$A$57:$A$77,$B65,'Input Area'!I$57:I$77)</f>
        <v>0</v>
      </c>
    </row>
    <row r="66" spans="1:9" outlineLevel="1" x14ac:dyDescent="0.25">
      <c r="B66" s="30" t="s">
        <v>26</v>
      </c>
      <c r="C66" s="173">
        <v>460</v>
      </c>
      <c r="E66" s="40">
        <f>SUMIF('Input Area'!$A$57:$A$77,$B66,'Input Area'!E$57:E$77)</f>
        <v>0</v>
      </c>
      <c r="F66" s="40">
        <f>SUMIF('Input Area'!$A$57:$A$77,$B66,'Input Area'!F$57:F$77)</f>
        <v>0</v>
      </c>
      <c r="G66" s="40">
        <f>SUMIF('Input Area'!$A$57:$A$77,$B66,'Input Area'!G$57:G$77)</f>
        <v>0</v>
      </c>
      <c r="H66" s="40">
        <f>SUMIF('Input Area'!$A$57:$A$77,$B66,'Input Area'!H$57:H$77)</f>
        <v>0</v>
      </c>
      <c r="I66" s="40">
        <f>SUMIF('Input Area'!$A$57:$A$77,$B66,'Input Area'!I$57:I$77)</f>
        <v>0</v>
      </c>
    </row>
    <row r="67" spans="1:9" outlineLevel="1" x14ac:dyDescent="0.25">
      <c r="B67" s="30" t="s">
        <v>27</v>
      </c>
      <c r="C67" s="173">
        <v>463</v>
      </c>
      <c r="E67" s="40">
        <f>SUMIF('Input Area'!$A$57:$A$77,$B67,'Input Area'!E$57:E$77)</f>
        <v>0</v>
      </c>
      <c r="F67" s="40">
        <f>SUMIF('Input Area'!$A$57:$A$77,$B67,'Input Area'!F$57:F$77)</f>
        <v>0</v>
      </c>
      <c r="G67" s="40">
        <f>SUMIF('Input Area'!$A$57:$A$77,$B67,'Input Area'!G$57:G$77)</f>
        <v>0</v>
      </c>
      <c r="H67" s="40">
        <f>SUMIF('Input Area'!$A$57:$A$77,$B67,'Input Area'!H$57:H$77)</f>
        <v>0</v>
      </c>
      <c r="I67" s="40">
        <f>SUMIF('Input Area'!$A$57:$A$77,$B67,'Input Area'!I$57:I$77)</f>
        <v>0</v>
      </c>
    </row>
    <row r="68" spans="1:9" outlineLevel="1" x14ac:dyDescent="0.25">
      <c r="B68" s="30" t="s">
        <v>28</v>
      </c>
      <c r="C68" s="173">
        <v>465</v>
      </c>
      <c r="E68" s="40">
        <f>SUMIF('Input Area'!$A$57:$A$77,$B68,'Input Area'!E$57:E$77)</f>
        <v>0</v>
      </c>
      <c r="F68" s="40">
        <f>SUMIF('Input Area'!$A$57:$A$77,$B68,'Input Area'!F$57:F$77)</f>
        <v>0</v>
      </c>
      <c r="G68" s="40">
        <f>SUMIF('Input Area'!$A$57:$A$77,$B68,'Input Area'!G$57:G$77)</f>
        <v>0</v>
      </c>
      <c r="H68" s="40">
        <f>SUMIF('Input Area'!$A$57:$A$77,$B68,'Input Area'!H$57:H$77)</f>
        <v>0</v>
      </c>
      <c r="I68" s="40">
        <f>SUMIF('Input Area'!$A$57:$A$77,$B68,'Input Area'!I$57:I$77)</f>
        <v>0</v>
      </c>
    </row>
    <row r="69" spans="1:9" outlineLevel="1" x14ac:dyDescent="0.25">
      <c r="B69" s="30" t="s">
        <v>29</v>
      </c>
      <c r="C69" s="173">
        <v>495</v>
      </c>
      <c r="E69" s="40">
        <f>SUMIF('Input Area'!$A$57:$A$77,$B69,'Input Area'!E$57:E$77)</f>
        <v>0</v>
      </c>
      <c r="F69" s="40">
        <f>SUMIF('Input Area'!$A$57:$A$77,$B69,'Input Area'!F$57:F$77)</f>
        <v>0</v>
      </c>
      <c r="G69" s="40">
        <f>SUMIF('Input Area'!$A$57:$A$77,$B69,'Input Area'!G$57:G$77)</f>
        <v>0</v>
      </c>
      <c r="H69" s="40">
        <f>SUMIF('Input Area'!$A$57:$A$77,$B69,'Input Area'!H$57:H$77)</f>
        <v>0</v>
      </c>
      <c r="I69" s="40">
        <f>SUMIF('Input Area'!$A$57:$A$77,$B69,'Input Area'!I$57:I$77)</f>
        <v>0</v>
      </c>
    </row>
    <row r="70" spans="1:9" outlineLevel="1" x14ac:dyDescent="0.25">
      <c r="B70" s="30" t="s">
        <v>96</v>
      </c>
      <c r="C70" s="173">
        <v>496</v>
      </c>
      <c r="E70" s="40">
        <f>SUMIF('Input Area'!$A$57:$A$77,$B70,'Input Area'!E$57:E$77)</f>
        <v>0</v>
      </c>
      <c r="F70" s="40">
        <f>SUMIF('Input Area'!$A$57:$A$77,$B70,'Input Area'!F$57:F$77)</f>
        <v>0</v>
      </c>
      <c r="G70" s="40">
        <f>SUMIF('Input Area'!$A$57:$A$77,$B70,'Input Area'!G$57:G$77)</f>
        <v>0</v>
      </c>
      <c r="H70" s="40">
        <f>SUMIF('Input Area'!$A$57:$A$77,$B70,'Input Area'!H$57:H$77)</f>
        <v>0</v>
      </c>
      <c r="I70" s="40">
        <f>SUMIF('Input Area'!$A$57:$A$77,$B70,'Input Area'!I$57:I$77)</f>
        <v>0</v>
      </c>
    </row>
    <row r="71" spans="1:9" outlineLevel="1" x14ac:dyDescent="0.25">
      <c r="B71" s="30" t="s">
        <v>30</v>
      </c>
      <c r="C71" s="173">
        <v>535</v>
      </c>
      <c r="E71" s="40">
        <f>SUMIF('Input Area'!$A$57:$A$77,$B71,'Input Area'!E$57:E$77)</f>
        <v>0</v>
      </c>
      <c r="F71" s="40">
        <f>SUMIF('Input Area'!$A$57:$A$77,$B71,'Input Area'!F$57:F$77)</f>
        <v>0</v>
      </c>
      <c r="G71" s="40">
        <f>SUMIF('Input Area'!$A$57:$A$77,$B71,'Input Area'!G$57:G$77)</f>
        <v>0</v>
      </c>
      <c r="H71" s="40">
        <f>SUMIF('Input Area'!$A$57:$A$77,$B71,'Input Area'!H$57:H$77)</f>
        <v>0</v>
      </c>
      <c r="I71" s="40">
        <f>SUMIF('Input Area'!$A$57:$A$77,$B71,'Input Area'!I$57:I$77)</f>
        <v>0</v>
      </c>
    </row>
    <row r="72" spans="1:9" outlineLevel="1" x14ac:dyDescent="0.25">
      <c r="B72" s="30" t="s">
        <v>116</v>
      </c>
      <c r="C72" s="173">
        <v>540</v>
      </c>
      <c r="E72" s="40">
        <f>SUMIF('Input Area'!$A$57:$A$77,$B72,'Input Area'!E$57:E$77)</f>
        <v>0</v>
      </c>
      <c r="F72" s="40">
        <f>SUMIF('Input Area'!$A$57:$A$77,$B72,'Input Area'!F$57:F$77)</f>
        <v>0</v>
      </c>
      <c r="G72" s="40">
        <f>SUMIF('Input Area'!$A$57:$A$77,$B72,'Input Area'!G$57:G$77)</f>
        <v>0</v>
      </c>
      <c r="H72" s="40">
        <f>SUMIF('Input Area'!$A$57:$A$77,$B72,'Input Area'!H$57:H$77)</f>
        <v>0</v>
      </c>
      <c r="I72" s="40">
        <f>SUMIF('Input Area'!$A$57:$A$77,$B72,'Input Area'!I$57:I$77)</f>
        <v>0</v>
      </c>
    </row>
    <row r="73" spans="1:9" x14ac:dyDescent="0.25">
      <c r="B73" s="9" t="s">
        <v>31</v>
      </c>
      <c r="C73" s="173">
        <v>620</v>
      </c>
      <c r="E73" s="38">
        <f>SUMIF('Input Area'!$A$57:$A$77,$B73,'Input Area'!E$57:E$77)</f>
        <v>0</v>
      </c>
      <c r="F73" s="38">
        <f>SUMIF('Input Area'!$A$57:$A$77,$B73,'Input Area'!F$57:F$77)</f>
        <v>0</v>
      </c>
      <c r="G73" s="38">
        <f>SUMIF('Input Area'!$A$57:$A$77,$B73,'Input Area'!G$57:G$77)</f>
        <v>0</v>
      </c>
      <c r="H73" s="38">
        <f>SUMIF('Input Area'!$A$57:$A$77,$B73,'Input Area'!H$57:H$77)</f>
        <v>0</v>
      </c>
      <c r="I73" s="38">
        <f>SUMIF('Input Area'!$A$57:$A$77,$B73,'Input Area'!I$57:I$77)</f>
        <v>0</v>
      </c>
    </row>
    <row r="74" spans="1:9" x14ac:dyDescent="0.25">
      <c r="B74" s="31"/>
      <c r="C74" s="174"/>
      <c r="D74" s="31"/>
      <c r="E74" s="41">
        <f>SUBTOTAL(9,E22:E73)</f>
        <v>0</v>
      </c>
      <c r="F74" s="41">
        <f>SUBTOTAL(9,F22:F73)</f>
        <v>0</v>
      </c>
      <c r="G74" s="41">
        <f>SUBTOTAL(9,G22:G73)</f>
        <v>0</v>
      </c>
      <c r="H74" s="41">
        <f>SUBTOTAL(9,H22:H73)</f>
        <v>0</v>
      </c>
      <c r="I74" s="41">
        <f>SUBTOTAL(9,I22:I73)</f>
        <v>0</v>
      </c>
    </row>
    <row r="75" spans="1:9" ht="15.75" thickBot="1" x14ac:dyDescent="0.3">
      <c r="A75" s="207" t="s">
        <v>186</v>
      </c>
      <c r="B75" s="208"/>
      <c r="C75" s="209"/>
      <c r="D75" s="208"/>
      <c r="E75" s="210">
        <f ca="1">E20-E74</f>
        <v>0</v>
      </c>
      <c r="F75" s="210">
        <f t="shared" ref="F75:I75" ca="1" si="7">F20-F74</f>
        <v>0</v>
      </c>
      <c r="G75" s="210">
        <f t="shared" ca="1" si="7"/>
        <v>0</v>
      </c>
      <c r="H75" s="210">
        <f t="shared" ca="1" si="7"/>
        <v>0</v>
      </c>
      <c r="I75" s="210">
        <f t="shared" ca="1" si="7"/>
        <v>0</v>
      </c>
    </row>
    <row r="76" spans="1:9" ht="15.75" thickTop="1" x14ac:dyDescent="0.25">
      <c r="E76" s="38"/>
      <c r="F76" s="39"/>
      <c r="G76" s="39"/>
      <c r="H76" s="39"/>
      <c r="I76" s="39"/>
    </row>
    <row r="77" spans="1:9" x14ac:dyDescent="0.25">
      <c r="A77" s="9" t="s">
        <v>213</v>
      </c>
      <c r="E77" s="38"/>
      <c r="F77" s="39"/>
      <c r="G77" s="39"/>
      <c r="H77" s="39"/>
      <c r="I77" s="39"/>
    </row>
    <row r="78" spans="1:9" x14ac:dyDescent="0.25">
      <c r="B78" s="9" t="s">
        <v>211</v>
      </c>
      <c r="C78" s="173">
        <v>786</v>
      </c>
      <c r="E78" s="38">
        <f>SUMIF('Input Area'!$D$84:$D$91,$C78,'Input Area'!E84:E91)</f>
        <v>0</v>
      </c>
      <c r="F78" s="38">
        <f>SUMIF('Input Area'!$D$84:$D$91,$C78,'Input Area'!F84:F91)</f>
        <v>0</v>
      </c>
      <c r="G78" s="38">
        <f>SUMIF('Input Area'!$D$84:$D$91,$C78,'Input Area'!G84:G91)</f>
        <v>0</v>
      </c>
      <c r="H78" s="38">
        <f>SUMIF('Input Area'!$D$84:$D$91,$C78,'Input Area'!H84:H91)</f>
        <v>0</v>
      </c>
      <c r="I78" s="38">
        <f>SUMIF('Input Area'!$D$84:$D$91,$C78,'Input Area'!I84:I91)</f>
        <v>0</v>
      </c>
    </row>
    <row r="79" spans="1:9" x14ac:dyDescent="0.25">
      <c r="B79" s="9" t="s">
        <v>212</v>
      </c>
      <c r="C79" s="173">
        <v>787</v>
      </c>
      <c r="E79" s="38">
        <f>SUMIF('Input Area'!$D$84:$D$91,$C79,'Input Area'!E84:E91)</f>
        <v>0</v>
      </c>
      <c r="F79" s="38">
        <f>SUMIF('Input Area'!$D$84:$D$91,$C79,'Input Area'!F84:F91)</f>
        <v>0</v>
      </c>
      <c r="G79" s="38">
        <f>SUMIF('Input Area'!$D$84:$D$91,$C79,'Input Area'!G84:G91)</f>
        <v>0</v>
      </c>
      <c r="H79" s="38">
        <f>SUMIF('Input Area'!$D$84:$D$91,$C79,'Input Area'!H84:H91)</f>
        <v>0</v>
      </c>
      <c r="I79" s="38">
        <f>SUMIF('Input Area'!$D$84:$D$91,$C79,'Input Area'!I84:I91)</f>
        <v>0</v>
      </c>
    </row>
    <row r="80" spans="1:9" x14ac:dyDescent="0.25">
      <c r="A80" s="31"/>
      <c r="B80" s="31"/>
      <c r="C80" s="174"/>
      <c r="D80" s="31"/>
      <c r="E80" s="41">
        <f>SUBTOTAL(9,E78:E79)</f>
        <v>0</v>
      </c>
      <c r="F80" s="41">
        <f t="shared" ref="F80:I80" si="8">SUBTOTAL(9,F78:F79)</f>
        <v>0</v>
      </c>
      <c r="G80" s="41">
        <f t="shared" si="8"/>
        <v>0</v>
      </c>
      <c r="H80" s="41">
        <f t="shared" si="8"/>
        <v>0</v>
      </c>
      <c r="I80" s="41">
        <f t="shared" si="8"/>
        <v>0</v>
      </c>
    </row>
    <row r="81" spans="1:11" x14ac:dyDescent="0.25">
      <c r="E81" s="38"/>
      <c r="F81" s="39"/>
      <c r="G81" s="39"/>
      <c r="H81" s="39"/>
      <c r="I81" s="39"/>
    </row>
    <row r="82" spans="1:11" x14ac:dyDescent="0.25">
      <c r="A82" s="9" t="str">
        <f>IF(E5="Operating","Notational distribution information:","Required distributions:")</f>
        <v>Required distributions:</v>
      </c>
      <c r="E82" s="38"/>
      <c r="F82" s="39"/>
      <c r="G82" s="39"/>
      <c r="H82" s="39"/>
      <c r="I82" s="39"/>
    </row>
    <row r="83" spans="1:11" x14ac:dyDescent="0.25">
      <c r="B83" s="35" t="s">
        <v>142</v>
      </c>
      <c r="C83" s="173">
        <v>680</v>
      </c>
      <c r="D83" s="53">
        <v>0.03</v>
      </c>
      <c r="E83" s="54">
        <f>IF('Input Area'!$P$8="yes",E20*0.03,)</f>
        <v>0</v>
      </c>
      <c r="F83" s="54">
        <f>IF('Input Area'!$P$8="yes",F20*0.03,)</f>
        <v>0</v>
      </c>
      <c r="G83" s="54">
        <f>IF('Input Area'!$P$8="yes",G20*0.03,)</f>
        <v>0</v>
      </c>
      <c r="H83" s="54">
        <f>IF('Input Area'!$P$8="yes",H20*0.03,)</f>
        <v>0</v>
      </c>
      <c r="I83" s="54">
        <f>IF('Input Area'!$P$8="yes",I20*0.03,)</f>
        <v>0</v>
      </c>
    </row>
    <row r="84" spans="1:11" x14ac:dyDescent="0.25">
      <c r="B84" s="9" t="s">
        <v>143</v>
      </c>
      <c r="C84" s="173">
        <v>681</v>
      </c>
      <c r="D84" s="53">
        <v>0.22</v>
      </c>
      <c r="E84" s="38">
        <f ca="1">E20*0.22</f>
        <v>0</v>
      </c>
      <c r="F84" s="38">
        <f ca="1">F20*0.22</f>
        <v>0</v>
      </c>
      <c r="G84" s="38">
        <f ca="1">G20*0.22</f>
        <v>0</v>
      </c>
      <c r="H84" s="38">
        <f ca="1">H20*0.22</f>
        <v>0</v>
      </c>
      <c r="I84" s="38">
        <f ca="1">I20*0.22</f>
        <v>0</v>
      </c>
      <c r="K84" s="9" t="str">
        <f>IF(E5="Operating","Notational distributions illustrate the proportion of central costs not allocated to activity.","Effective fiscal 1415 minimum overhead rate of 22% assumed for all Off Grant activity")</f>
        <v>Effective fiscal 1415 minimum overhead rate of 22% assumed for all Off Grant activity</v>
      </c>
    </row>
    <row r="85" spans="1:11" x14ac:dyDescent="0.25">
      <c r="A85" s="31"/>
      <c r="B85" s="31"/>
      <c r="C85" s="174"/>
      <c r="D85" s="31"/>
      <c r="E85" s="41">
        <f ca="1">SUBTOTAL(9,E83:E84)</f>
        <v>0</v>
      </c>
      <c r="F85" s="41">
        <f t="shared" ref="F85:I85" ca="1" si="9">SUBTOTAL(9,F83:F84)</f>
        <v>0</v>
      </c>
      <c r="G85" s="41">
        <f t="shared" ca="1" si="9"/>
        <v>0</v>
      </c>
      <c r="H85" s="41">
        <f t="shared" ca="1" si="9"/>
        <v>0</v>
      </c>
      <c r="I85" s="41">
        <f t="shared" ca="1" si="9"/>
        <v>0</v>
      </c>
    </row>
    <row r="86" spans="1:11" x14ac:dyDescent="0.25">
      <c r="E86" s="38"/>
      <c r="F86" s="39"/>
      <c r="G86" s="39"/>
      <c r="H86" s="39"/>
      <c r="I86" s="39"/>
    </row>
    <row r="87" spans="1:11" ht="15.75" thickBot="1" x14ac:dyDescent="0.3">
      <c r="A87" s="36" t="s">
        <v>79</v>
      </c>
      <c r="B87" s="37"/>
      <c r="C87" s="175"/>
      <c r="D87" s="37"/>
      <c r="E87" s="42">
        <f ca="1">E75-E80-E85</f>
        <v>0</v>
      </c>
      <c r="F87" s="42">
        <f t="shared" ref="F87:I87" ca="1" si="10">F75-F80-F85</f>
        <v>0</v>
      </c>
      <c r="G87" s="42">
        <f t="shared" ca="1" si="10"/>
        <v>0</v>
      </c>
      <c r="H87" s="42">
        <f t="shared" ca="1" si="10"/>
        <v>0</v>
      </c>
      <c r="I87" s="42">
        <f t="shared" ca="1" si="10"/>
        <v>0</v>
      </c>
      <c r="K87" s="9" t="s">
        <v>194</v>
      </c>
    </row>
    <row r="88" spans="1:11" x14ac:dyDescent="0.25">
      <c r="E88" s="38"/>
      <c r="F88" s="39"/>
      <c r="G88" s="39"/>
      <c r="H88" s="39"/>
      <c r="I88" s="39"/>
    </row>
    <row r="89" spans="1:11" x14ac:dyDescent="0.25">
      <c r="B89" s="9" t="s">
        <v>82</v>
      </c>
      <c r="E89" s="38">
        <f>SUMIF('Input Area'!$A$57:$A$77,$B89,'Input Area'!E$57:E$77)</f>
        <v>0</v>
      </c>
      <c r="F89" s="38">
        <f>SUMIF('Input Area'!$A$57:$A$77,$B89,'Input Area'!F$57:F$77)</f>
        <v>0</v>
      </c>
      <c r="G89" s="38">
        <f>SUMIF('Input Area'!$A$57:$A$77,$B89,'Input Area'!G$57:G$77)</f>
        <v>0</v>
      </c>
      <c r="H89" s="38">
        <f>SUMIF('Input Area'!$A$57:$A$77,$B89,'Input Area'!H$57:H$77)</f>
        <v>0</v>
      </c>
      <c r="I89" s="38">
        <f>SUMIF('Input Area'!$A$57:$A$77,$B89,'Input Area'!I$57:I$77)</f>
        <v>0</v>
      </c>
    </row>
    <row r="90" spans="1:11" x14ac:dyDescent="0.25">
      <c r="A90" s="44" t="s">
        <v>80</v>
      </c>
      <c r="B90" s="44"/>
      <c r="C90" s="245"/>
      <c r="D90" s="44"/>
      <c r="E90" s="45">
        <f ca="1">E87-E89</f>
        <v>0</v>
      </c>
      <c r="F90" s="45">
        <f t="shared" ref="F90:I90" ca="1" si="11">F87-F89</f>
        <v>0</v>
      </c>
      <c r="G90" s="45">
        <f t="shared" ca="1" si="11"/>
        <v>0</v>
      </c>
      <c r="H90" s="45">
        <f t="shared" ca="1" si="11"/>
        <v>0</v>
      </c>
      <c r="I90" s="45">
        <f t="shared" ca="1" si="11"/>
        <v>0</v>
      </c>
      <c r="K90" s="81" t="str">
        <f ca="1">IF(AND(E5="Base",SUM(E90:I90)&lt;0),"Revenues are not sufficient to cover all costs for this activity.","")</f>
        <v/>
      </c>
    </row>
    <row r="91" spans="1:11" x14ac:dyDescent="0.25">
      <c r="E91" s="43"/>
      <c r="F91" s="43"/>
      <c r="G91" s="43"/>
      <c r="H91" s="43"/>
      <c r="I91" s="43"/>
    </row>
    <row r="92" spans="1:11" x14ac:dyDescent="0.25">
      <c r="A92" s="9" t="s">
        <v>195</v>
      </c>
      <c r="E92" s="43"/>
      <c r="F92" s="43"/>
      <c r="G92" s="43"/>
      <c r="H92" s="43"/>
      <c r="I92" s="43"/>
    </row>
    <row r="93" spans="1:11" ht="15.75" customHeight="1" x14ac:dyDescent="0.25">
      <c r="A93" s="107" t="str">
        <f>IF(E5="Operating","Add back: notational distributions noted above","No adjustment to overhead distribution")</f>
        <v>No adjustment to overhead distribution</v>
      </c>
      <c r="E93" s="43" t="str">
        <f>IF($E$5="Operating",E85,"")</f>
        <v/>
      </c>
      <c r="F93" s="43" t="str">
        <f>IF($E$5="Operating",F85,"")</f>
        <v/>
      </c>
      <c r="G93" s="43" t="str">
        <f>IF($E$5="Operating",G85,"")</f>
        <v/>
      </c>
      <c r="H93" s="43" t="str">
        <f>IF($E$5="Operating",H85,"")</f>
        <v/>
      </c>
      <c r="I93" s="43" t="str">
        <f>IF($E$5="Operating",I85,"")</f>
        <v/>
      </c>
    </row>
    <row r="94" spans="1:11" x14ac:dyDescent="0.25">
      <c r="A94" s="77" t="str">
        <f>IF('Input Area'!H8="Operating","Remove: domestic tuition as is held centrally","No adjustment required for domestic tuition")</f>
        <v>No adjustment required for domestic tuition</v>
      </c>
      <c r="E94" s="244" t="str">
        <f>IF('Input Area'!$H$8="Operating",-E13,"")</f>
        <v/>
      </c>
      <c r="F94" s="244" t="str">
        <f>IF('Input Area'!$H$8="Operating",-F13,"")</f>
        <v/>
      </c>
      <c r="G94" s="244" t="str">
        <f>IF('Input Area'!$H$8="Operating",-G13,"")</f>
        <v/>
      </c>
      <c r="H94" s="244" t="str">
        <f>IF('Input Area'!$H$8="Operating",-H13,"")</f>
        <v/>
      </c>
      <c r="I94" s="244" t="str">
        <f>IF('Input Area'!$H$8="Operating",-I13,"")</f>
        <v/>
      </c>
    </row>
    <row r="95" spans="1:11" x14ac:dyDescent="0.25">
      <c r="A95" s="107" t="str">
        <f>IF('Input Area'!H8="Operating","Remove: portion of IE tuition held by International faculty","No adjustment required for International tuition")</f>
        <v>No adjustment required for International tuition</v>
      </c>
      <c r="E95" s="43">
        <f>IF('Input Area'!$H$8="Operating",-'Tuition Summary (view only)'!C68,)</f>
        <v>0</v>
      </c>
      <c r="F95" s="43">
        <f>IF('Input Area'!$H$8="Operating",-'Tuition Summary (view only)'!F68,)</f>
        <v>0</v>
      </c>
      <c r="G95" s="43">
        <f>IF('Input Area'!$H$8="Operating",-'Tuition Summary (view only)'!I68,)</f>
        <v>0</v>
      </c>
      <c r="H95" s="43">
        <f>IF('Input Area'!$H$8="Operating",-'Tuition Summary (view only)'!L68,)</f>
        <v>0</v>
      </c>
      <c r="I95" s="43">
        <f>IF('Input Area'!$H$8="Operating",-'Tuition Summary (view only)'!O68,)</f>
        <v>0</v>
      </c>
      <c r="K95" s="9" t="str">
        <f>IF('Input Area'!H8="Operating","Difference between IE tuition levied and the per credit/student allocated to the program cc.","")</f>
        <v/>
      </c>
    </row>
    <row r="96" spans="1:11" x14ac:dyDescent="0.25">
      <c r="A96" s="31"/>
      <c r="B96" s="31"/>
      <c r="C96" s="174"/>
      <c r="D96" s="31"/>
      <c r="E96" s="41">
        <f>SUBTOTAL(9,E93:E95)</f>
        <v>0</v>
      </c>
      <c r="F96" s="41">
        <f t="shared" ref="F96:I96" si="12">SUBTOTAL(9,F93:F95)</f>
        <v>0</v>
      </c>
      <c r="G96" s="41">
        <f t="shared" si="12"/>
        <v>0</v>
      </c>
      <c r="H96" s="41">
        <f t="shared" si="12"/>
        <v>0</v>
      </c>
      <c r="I96" s="41">
        <f t="shared" si="12"/>
        <v>0</v>
      </c>
    </row>
    <row r="97" spans="1:11" x14ac:dyDescent="0.25">
      <c r="B97" s="46"/>
      <c r="C97" s="176"/>
      <c r="D97" s="46"/>
      <c r="E97" s="47"/>
      <c r="F97" s="47"/>
      <c r="G97" s="47"/>
      <c r="H97" s="47"/>
      <c r="I97" s="47"/>
    </row>
    <row r="98" spans="1:11" x14ac:dyDescent="0.25">
      <c r="A98" s="44" t="s">
        <v>91</v>
      </c>
      <c r="B98" s="31"/>
      <c r="C98" s="174"/>
      <c r="D98" s="31"/>
      <c r="E98" s="206">
        <f ca="1">E90+E96</f>
        <v>0</v>
      </c>
      <c r="F98" s="206">
        <f t="shared" ref="F98:I98" ca="1" si="13">F90+F96</f>
        <v>0</v>
      </c>
      <c r="G98" s="206">
        <f t="shared" ca="1" si="13"/>
        <v>0</v>
      </c>
      <c r="H98" s="206">
        <f t="shared" ca="1" si="13"/>
        <v>0</v>
      </c>
      <c r="I98" s="206">
        <f t="shared" ca="1" si="13"/>
        <v>0</v>
      </c>
      <c r="K98" s="29" t="str">
        <f>IF(E5="Operating","Represents the estimated net expenditure budget for the operating fund activity cost centre","")</f>
        <v/>
      </c>
    </row>
    <row r="99" spans="1:11" x14ac:dyDescent="0.25">
      <c r="E99" s="38"/>
      <c r="F99" s="39"/>
      <c r="G99" s="39"/>
      <c r="H99" s="39"/>
      <c r="I99" s="39"/>
    </row>
    <row r="100" spans="1:11" x14ac:dyDescent="0.25">
      <c r="A100" s="9" t="s">
        <v>145</v>
      </c>
      <c r="E100" s="100"/>
      <c r="F100" s="101">
        <f>IF('Input Area'!$H$8="Off Grant",E101,)</f>
        <v>0</v>
      </c>
      <c r="G100" s="101">
        <f>IF('Input Area'!$H$8="Off Grant",F101,)</f>
        <v>0</v>
      </c>
      <c r="H100" s="101">
        <f>IF('Input Area'!$H$8="Off Grant",G101,)</f>
        <v>0</v>
      </c>
      <c r="I100" s="101">
        <f>IF('Input Area'!$H$8="Off Grant",H101,)</f>
        <v>0</v>
      </c>
    </row>
    <row r="101" spans="1:11" x14ac:dyDescent="0.25">
      <c r="A101" s="9" t="s">
        <v>78</v>
      </c>
      <c r="E101" s="102">
        <f>IF('Input Area'!$H$8="Off Grant",E98,)</f>
        <v>0</v>
      </c>
      <c r="F101" s="102">
        <f>IF('Input Area'!$H$8="Off Grant",F98+F100,)</f>
        <v>0</v>
      </c>
      <c r="G101" s="102">
        <f>IF('Input Area'!$H$8="Off Grant",G98+G100,)</f>
        <v>0</v>
      </c>
      <c r="H101" s="102">
        <f>IF('Input Area'!$H$8="Off Grant",H98+H100,)</f>
        <v>0</v>
      </c>
      <c r="I101" s="102">
        <f>IF('Input Area'!$H$8="Off Grant",I98+I100,)</f>
        <v>0</v>
      </c>
    </row>
    <row r="103" spans="1:11" x14ac:dyDescent="0.25">
      <c r="A103" s="446" t="str">
        <f>IF('Input Area'!H8="Operating","For Operating programs the Revised Surplus (Deficit) represents the impact on existing resources of the Area and the magnitude of burden on institutional resources","For Off Grant programs early year deficits due to bringing the proposed activity on stream should eventually be covered by future surpluses")</f>
        <v>For Off Grant programs early year deficits due to bringing the proposed activity on stream should eventually be covered by future surpluses</v>
      </c>
      <c r="B103" s="446"/>
      <c r="C103" s="446"/>
      <c r="D103" s="446"/>
      <c r="E103" s="446"/>
      <c r="F103" s="446"/>
      <c r="G103" s="446"/>
      <c r="H103" s="446"/>
      <c r="I103" s="446"/>
    </row>
    <row r="104" spans="1:11" x14ac:dyDescent="0.25">
      <c r="A104" s="446"/>
      <c r="B104" s="446"/>
      <c r="C104" s="446"/>
      <c r="D104" s="446"/>
      <c r="E104" s="446"/>
      <c r="F104" s="446"/>
      <c r="G104" s="446"/>
      <c r="H104" s="446"/>
      <c r="I104" s="446"/>
    </row>
    <row r="106" spans="1:11" x14ac:dyDescent="0.25">
      <c r="A106" s="56"/>
    </row>
  </sheetData>
  <sheetProtection algorithmName="SHA-512" hashValue="iSc/uVBGwX7hb/CgzfPbZAbDQhiOru8V5TwU2iqyczsIfbp0EmjNvDJY9clLYv6rLKee8TfFDwNQD9/1xfIz1A==" saltValue="44UXUXsonuae3kDPNqNGyA==" spinCount="100000" sheet="1" objects="1" scenarios="1" sort="0" autoFilter="0"/>
  <mergeCells count="4">
    <mergeCell ref="E1:I1"/>
    <mergeCell ref="D4:E4"/>
    <mergeCell ref="A103:I104"/>
    <mergeCell ref="W24:W26"/>
  </mergeCells>
  <conditionalFormatting sqref="E100:I101">
    <cfRule type="cellIs" dxfId="0" priority="1" operator="lessThan">
      <formula>" -   "</formula>
    </cfRule>
  </conditionalFormatting>
  <pageMargins left="0.47244094488188998" right="0.35433070866141703" top="0.74803149606299202" bottom="0.74803149606299202" header="0.31496062992126" footer="0.31496062992126"/>
  <pageSetup scale="40" orientation="portrait" r:id="rId1"/>
  <headerFooter>
    <oddFooter>&amp;L&amp;F; &amp;A&amp;RPage&amp;P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41"/>
  <sheetViews>
    <sheetView workbookViewId="0">
      <selection activeCell="H8" sqref="H8:I8"/>
    </sheetView>
  </sheetViews>
  <sheetFormatPr defaultRowHeight="15" x14ac:dyDescent="0.25"/>
  <cols>
    <col min="1" max="1" width="32.5703125" bestFit="1" customWidth="1"/>
    <col min="3" max="3" width="2.5703125" customWidth="1"/>
    <col min="4" max="4" width="26.140625" bestFit="1" customWidth="1"/>
    <col min="6" max="6" width="3.28515625" customWidth="1"/>
    <col min="7" max="7" width="21" bestFit="1" customWidth="1"/>
    <col min="8" max="8" width="3.28515625" customWidth="1"/>
    <col min="9" max="9" width="20.7109375" bestFit="1" customWidth="1"/>
    <col min="11" max="11" width="3.140625" customWidth="1"/>
  </cols>
  <sheetData>
    <row r="1" spans="1:10" s="83" customFormat="1" x14ac:dyDescent="0.25">
      <c r="A1" s="83" t="s">
        <v>2</v>
      </c>
      <c r="D1" s="83" t="s">
        <v>7</v>
      </c>
      <c r="G1" s="83" t="s">
        <v>36</v>
      </c>
      <c r="I1" s="83" t="s">
        <v>200</v>
      </c>
      <c r="J1" s="83" t="s">
        <v>49</v>
      </c>
    </row>
    <row r="2" spans="1:10" x14ac:dyDescent="0.25">
      <c r="A2" s="66" t="s">
        <v>0</v>
      </c>
      <c r="B2" s="66" t="s">
        <v>1</v>
      </c>
      <c r="C2" s="66"/>
      <c r="D2" s="66" t="s">
        <v>0</v>
      </c>
      <c r="E2" s="66" t="s">
        <v>1</v>
      </c>
      <c r="G2" t="s">
        <v>33</v>
      </c>
      <c r="I2" t="s">
        <v>201</v>
      </c>
      <c r="J2">
        <v>786</v>
      </c>
    </row>
    <row r="3" spans="1:10" x14ac:dyDescent="0.25">
      <c r="A3" s="10" t="s">
        <v>55</v>
      </c>
      <c r="B3" s="10">
        <v>784</v>
      </c>
      <c r="D3" s="82" t="s">
        <v>16</v>
      </c>
      <c r="E3" s="82">
        <v>405</v>
      </c>
      <c r="G3" t="s">
        <v>120</v>
      </c>
      <c r="I3" t="s">
        <v>202</v>
      </c>
      <c r="J3">
        <v>787</v>
      </c>
    </row>
    <row r="4" spans="1:10" x14ac:dyDescent="0.25">
      <c r="A4" s="10" t="s">
        <v>5</v>
      </c>
      <c r="B4" s="10">
        <v>720</v>
      </c>
      <c r="D4" s="82" t="s">
        <v>19</v>
      </c>
      <c r="E4" s="82">
        <v>428</v>
      </c>
      <c r="G4" t="s">
        <v>117</v>
      </c>
      <c r="I4" t="s">
        <v>204</v>
      </c>
    </row>
    <row r="5" spans="1:10" x14ac:dyDescent="0.25">
      <c r="A5" s="10" t="s">
        <v>6</v>
      </c>
      <c r="B5" s="10">
        <v>722</v>
      </c>
      <c r="D5" s="82" t="s">
        <v>10</v>
      </c>
      <c r="E5" s="82">
        <v>209</v>
      </c>
      <c r="G5" t="s">
        <v>118</v>
      </c>
      <c r="I5" t="s">
        <v>205</v>
      </c>
    </row>
    <row r="6" spans="1:10" x14ac:dyDescent="0.25">
      <c r="A6" t="s">
        <v>57</v>
      </c>
      <c r="B6">
        <v>790</v>
      </c>
      <c r="D6" s="82" t="s">
        <v>94</v>
      </c>
      <c r="E6" s="82">
        <v>401</v>
      </c>
    </row>
    <row r="7" spans="1:10" x14ac:dyDescent="0.25">
      <c r="A7" s="10" t="s">
        <v>8</v>
      </c>
      <c r="B7" s="10">
        <v>799</v>
      </c>
      <c r="D7" s="82" t="s">
        <v>24</v>
      </c>
      <c r="E7" s="82">
        <v>403</v>
      </c>
    </row>
    <row r="8" spans="1:10" x14ac:dyDescent="0.25">
      <c r="A8" s="10" t="s">
        <v>56</v>
      </c>
      <c r="B8" s="10">
        <v>785</v>
      </c>
      <c r="D8" s="82" t="s">
        <v>114</v>
      </c>
      <c r="E8" s="82">
        <v>526</v>
      </c>
    </row>
    <row r="9" spans="1:10" x14ac:dyDescent="0.25">
      <c r="A9" s="10" t="s">
        <v>60</v>
      </c>
      <c r="B9" s="10">
        <v>760</v>
      </c>
      <c r="D9" s="82" t="s">
        <v>20</v>
      </c>
      <c r="E9" s="82">
        <v>497</v>
      </c>
    </row>
    <row r="10" spans="1:10" x14ac:dyDescent="0.25">
      <c r="D10" s="82" t="s">
        <v>31</v>
      </c>
      <c r="E10" s="82">
        <v>620</v>
      </c>
    </row>
    <row r="11" spans="1:10" x14ac:dyDescent="0.25">
      <c r="D11" s="82" t="s">
        <v>11</v>
      </c>
      <c r="E11" s="82">
        <v>219</v>
      </c>
    </row>
    <row r="12" spans="1:10" x14ac:dyDescent="0.25">
      <c r="D12" s="82" t="s">
        <v>15</v>
      </c>
      <c r="E12" s="82">
        <v>239</v>
      </c>
    </row>
    <row r="13" spans="1:10" x14ac:dyDescent="0.25">
      <c r="D13" s="82" t="s">
        <v>70</v>
      </c>
      <c r="E13" s="82">
        <v>598</v>
      </c>
    </row>
    <row r="14" spans="1:10" x14ac:dyDescent="0.25">
      <c r="D14" s="82" t="s">
        <v>14</v>
      </c>
      <c r="E14" s="82">
        <v>235</v>
      </c>
    </row>
    <row r="15" spans="1:10" x14ac:dyDescent="0.25">
      <c r="D15" s="82" t="s">
        <v>26</v>
      </c>
      <c r="E15" s="82">
        <v>460</v>
      </c>
    </row>
    <row r="16" spans="1:10" x14ac:dyDescent="0.25">
      <c r="D16" t="s">
        <v>109</v>
      </c>
      <c r="E16">
        <v>417</v>
      </c>
    </row>
    <row r="17" spans="4:5" x14ac:dyDescent="0.25">
      <c r="D17" s="82" t="s">
        <v>96</v>
      </c>
      <c r="E17" s="82">
        <v>496</v>
      </c>
    </row>
    <row r="18" spans="4:5" x14ac:dyDescent="0.25">
      <c r="D18" s="82" t="s">
        <v>28</v>
      </c>
      <c r="E18" s="82">
        <v>465</v>
      </c>
    </row>
    <row r="19" spans="4:5" x14ac:dyDescent="0.25">
      <c r="D19" s="82" t="s">
        <v>29</v>
      </c>
      <c r="E19" s="82">
        <v>495</v>
      </c>
    </row>
    <row r="20" spans="4:5" x14ac:dyDescent="0.25">
      <c r="D20" s="82" t="s">
        <v>48</v>
      </c>
      <c r="E20" s="82">
        <v>282</v>
      </c>
    </row>
    <row r="21" spans="4:5" x14ac:dyDescent="0.25">
      <c r="D21" s="82" t="s">
        <v>116</v>
      </c>
      <c r="E21" s="82">
        <v>540</v>
      </c>
    </row>
    <row r="22" spans="4:5" s="82" customFormat="1" x14ac:dyDescent="0.25">
      <c r="D22" s="82" t="s">
        <v>113</v>
      </c>
      <c r="E22" s="82">
        <v>520</v>
      </c>
    </row>
    <row r="23" spans="4:5" x14ac:dyDescent="0.25">
      <c r="D23" s="82" t="s">
        <v>22</v>
      </c>
      <c r="E23" s="82">
        <v>525</v>
      </c>
    </row>
    <row r="24" spans="4:5" x14ac:dyDescent="0.25">
      <c r="D24" s="82" t="s">
        <v>25</v>
      </c>
      <c r="E24" s="82">
        <v>406</v>
      </c>
    </row>
    <row r="25" spans="4:5" x14ac:dyDescent="0.25">
      <c r="D25" s="82" t="s">
        <v>30</v>
      </c>
      <c r="E25" s="82">
        <v>535</v>
      </c>
    </row>
    <row r="26" spans="4:5" x14ac:dyDescent="0.25">
      <c r="D26" s="82" t="s">
        <v>17</v>
      </c>
      <c r="E26" s="82">
        <v>409</v>
      </c>
    </row>
    <row r="27" spans="4:5" x14ac:dyDescent="0.25">
      <c r="D27" s="82" t="s">
        <v>13</v>
      </c>
      <c r="E27" s="82">
        <v>229</v>
      </c>
    </row>
    <row r="28" spans="4:5" s="82" customFormat="1" x14ac:dyDescent="0.25">
      <c r="D28" s="82" t="s">
        <v>95</v>
      </c>
      <c r="E28" s="82">
        <v>402</v>
      </c>
    </row>
    <row r="29" spans="4:5" s="82" customFormat="1" x14ac:dyDescent="0.25">
      <c r="D29" s="82" t="s">
        <v>21</v>
      </c>
      <c r="E29" s="82">
        <v>430</v>
      </c>
    </row>
    <row r="30" spans="4:5" x14ac:dyDescent="0.25">
      <c r="D30" t="s">
        <v>112</v>
      </c>
      <c r="E30">
        <v>450</v>
      </c>
    </row>
    <row r="31" spans="4:5" s="10" customFormat="1" x14ac:dyDescent="0.25">
      <c r="D31" s="82" t="s">
        <v>73</v>
      </c>
      <c r="E31" s="82">
        <v>429</v>
      </c>
    </row>
    <row r="32" spans="4:5" s="10" customFormat="1" x14ac:dyDescent="0.25">
      <c r="D32" s="82" t="s">
        <v>69</v>
      </c>
      <c r="E32" s="82">
        <v>410</v>
      </c>
    </row>
    <row r="33" spans="4:5" x14ac:dyDescent="0.25">
      <c r="D33" s="82" t="s">
        <v>88</v>
      </c>
      <c r="E33" s="82">
        <v>444</v>
      </c>
    </row>
    <row r="34" spans="4:5" x14ac:dyDescent="0.25">
      <c r="D34" s="82" t="s">
        <v>82</v>
      </c>
      <c r="E34" s="82"/>
    </row>
    <row r="35" spans="4:5" x14ac:dyDescent="0.25">
      <c r="D35" s="82" t="s">
        <v>12</v>
      </c>
      <c r="E35" s="82">
        <v>221</v>
      </c>
    </row>
    <row r="36" spans="4:5" x14ac:dyDescent="0.25">
      <c r="D36" s="82" t="s">
        <v>23</v>
      </c>
      <c r="E36" s="82">
        <v>400</v>
      </c>
    </row>
    <row r="37" spans="4:5" x14ac:dyDescent="0.25">
      <c r="D37" s="82" t="s">
        <v>18</v>
      </c>
      <c r="E37" s="82">
        <v>420</v>
      </c>
    </row>
    <row r="38" spans="4:5" x14ac:dyDescent="0.25">
      <c r="D38" t="s">
        <v>110</v>
      </c>
      <c r="E38">
        <v>425</v>
      </c>
    </row>
    <row r="39" spans="4:5" x14ac:dyDescent="0.25">
      <c r="D39" s="82" t="s">
        <v>75</v>
      </c>
      <c r="E39" s="82">
        <v>506</v>
      </c>
    </row>
    <row r="40" spans="4:5" x14ac:dyDescent="0.25">
      <c r="D40" s="82" t="s">
        <v>27</v>
      </c>
      <c r="E40" s="82">
        <v>463</v>
      </c>
    </row>
    <row r="41" spans="4:5" x14ac:dyDescent="0.25">
      <c r="D41" s="82" t="s">
        <v>9</v>
      </c>
      <c r="E41" s="82">
        <v>204</v>
      </c>
    </row>
  </sheetData>
  <sheetProtection algorithmName="SHA-512" hashValue="L5Ua1E3gkqjPE+gNE2V0IEMbTD3BfJ2WmPr74sA9eCzWkr+gFAhcUK5E0DQBvH81CW47Ahu1jCuD+kW/PHhOGg==" saltValue="DY41BO6Kg5uDQpTvZYl4Dg==" spinCount="100000" sheet="1" objects="1" scenarios="1" selectLockedCells="1" selectUnlockedCells="1"/>
  <pageMargins left="0.47244094488188998" right="0.35433070866141703" top="0.74803149606299202" bottom="0.74803149606299202" header="0.31496062992126" footer="0.31496062992126"/>
  <pageSetup scale="71" orientation="portrait" r:id="rId1"/>
  <headerFooter>
    <oddFooter>&amp;L&amp;F; &amp;A&amp;RPage&amp;P of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21"/>
  <sheetViews>
    <sheetView workbookViewId="0">
      <selection activeCell="H8" sqref="H8:I8"/>
    </sheetView>
  </sheetViews>
  <sheetFormatPr defaultRowHeight="15" x14ac:dyDescent="0.25"/>
  <cols>
    <col min="1" max="12" width="12.7109375" customWidth="1"/>
  </cols>
  <sheetData>
    <row r="1" spans="1:12" s="82" customFormat="1" ht="15.75" thickBot="1" x14ac:dyDescent="0.3">
      <c r="A1" s="60" t="s">
        <v>189</v>
      </c>
      <c r="B1" s="391" t="s">
        <v>187</v>
      </c>
      <c r="C1" s="392"/>
      <c r="D1" s="393"/>
      <c r="E1" s="391" t="s">
        <v>188</v>
      </c>
      <c r="F1" s="392"/>
      <c r="G1" s="392"/>
      <c r="H1" s="392"/>
      <c r="I1" s="392"/>
      <c r="J1" s="392"/>
      <c r="K1" s="392"/>
      <c r="L1" s="393"/>
    </row>
    <row r="2" spans="1:12" s="181" customFormat="1" ht="60" x14ac:dyDescent="0.25">
      <c r="A2" s="180" t="s">
        <v>147</v>
      </c>
      <c r="B2" s="211" t="s">
        <v>183</v>
      </c>
      <c r="C2" s="212" t="s">
        <v>184</v>
      </c>
      <c r="D2" s="213" t="s">
        <v>159</v>
      </c>
      <c r="E2" s="211" t="s">
        <v>171</v>
      </c>
      <c r="F2" s="212" t="s">
        <v>172</v>
      </c>
      <c r="G2" s="212" t="s">
        <v>173</v>
      </c>
      <c r="H2" s="212" t="s">
        <v>174</v>
      </c>
      <c r="I2" s="212" t="s">
        <v>175</v>
      </c>
      <c r="J2" s="212" t="s">
        <v>176</v>
      </c>
      <c r="K2" s="212" t="s">
        <v>164</v>
      </c>
      <c r="L2" s="213" t="s">
        <v>165</v>
      </c>
    </row>
    <row r="3" spans="1:12" x14ac:dyDescent="0.25">
      <c r="A3" s="83">
        <v>1617</v>
      </c>
      <c r="B3" s="157">
        <v>142.02000000000001</v>
      </c>
      <c r="C3" s="214">
        <v>464</v>
      </c>
      <c r="D3" s="215">
        <v>152.5</v>
      </c>
      <c r="E3" s="222">
        <f>ROUND(88310*10/12+89193*2/12,0)</f>
        <v>88457</v>
      </c>
      <c r="F3" s="223">
        <f>ROUND(68131*10/12+68813*2/12,0)</f>
        <v>68245</v>
      </c>
      <c r="G3" s="223">
        <f>ROUND(90076*10/12+90977*2/12,0)</f>
        <v>90226</v>
      </c>
      <c r="H3" s="223">
        <f>ROUND(69863*10/12+70562*2/12,0)</f>
        <v>69980</v>
      </c>
      <c r="I3" s="223">
        <f>ROUND((24.65*1/12+24.76*2/12+24.88*9/12)*35*2*26,0)</f>
        <v>45210</v>
      </c>
      <c r="J3" s="223">
        <v>73470</v>
      </c>
      <c r="K3" s="223">
        <v>6500</v>
      </c>
      <c r="L3" s="224">
        <v>8700</v>
      </c>
    </row>
    <row r="4" spans="1:12" x14ac:dyDescent="0.25">
      <c r="A4" s="83">
        <v>1718</v>
      </c>
      <c r="B4" s="216">
        <f>ROUND(B3*1.02,2)</f>
        <v>144.86000000000001</v>
      </c>
      <c r="C4" s="217">
        <f>ROUND(C3*1,2)</f>
        <v>464</v>
      </c>
      <c r="D4" s="218">
        <f>ROUND(D3*1.02,2)</f>
        <v>155.55000000000001</v>
      </c>
      <c r="E4" s="222">
        <f>ROUND(90531*10/12+91436*2/12,0)</f>
        <v>90682</v>
      </c>
      <c r="F4" s="223">
        <f>ROUND(69845*10/12+70543*2/12,0)</f>
        <v>69961</v>
      </c>
      <c r="G4" s="223">
        <f>ROUND(91432*10/12+92346*2/12,0)</f>
        <v>91584</v>
      </c>
      <c r="H4" s="223">
        <f>ROUND(71267*10/12+71624*2/12,0)</f>
        <v>71327</v>
      </c>
      <c r="I4" s="223">
        <f>ROUND((24.88*1/12+25.13*2/12+25.26*9/12)*35*2*26,0)</f>
        <v>45876</v>
      </c>
      <c r="J4" s="225">
        <f>J3</f>
        <v>73470</v>
      </c>
      <c r="K4" s="226">
        <f>ROUND(K3*1.01,0)</f>
        <v>6565</v>
      </c>
      <c r="L4" s="227">
        <f>ROUND(L3*1.01,0)</f>
        <v>8787</v>
      </c>
    </row>
    <row r="5" spans="1:12" x14ac:dyDescent="0.25">
      <c r="A5" s="83">
        <v>1819</v>
      </c>
      <c r="B5" s="216">
        <f t="shared" ref="B5:B15" si="0">ROUND(B4*1.02,2)</f>
        <v>147.76</v>
      </c>
      <c r="C5" s="217">
        <f>ROUND(C3*1.06,2)</f>
        <v>491.84</v>
      </c>
      <c r="D5" s="218">
        <f t="shared" ref="D5:D15" si="1">ROUND(D4*1.02,2)</f>
        <v>158.66</v>
      </c>
      <c r="E5" s="222">
        <f>ROUND(91893*10/12+92812*2/12,0)</f>
        <v>92046</v>
      </c>
      <c r="F5" s="223">
        <f>ROUND(70896*10/12+71604*2/12,0)</f>
        <v>71014</v>
      </c>
      <c r="G5" s="223">
        <f>ROUND(92808*10/12+93736*2/12,0)</f>
        <v>92963</v>
      </c>
      <c r="H5" s="223">
        <f>ROUND(72340*10/12+72702*2/12,0)</f>
        <v>72400</v>
      </c>
      <c r="I5" s="223">
        <f>ROUND((25.26*1/12+25.51*2/12+25.64*9/12)*35*2*26,0)</f>
        <v>46568</v>
      </c>
      <c r="J5" s="225">
        <f t="shared" ref="J5:J15" si="2">J4</f>
        <v>73470</v>
      </c>
      <c r="K5" s="226">
        <f>ROUND(K4*1.01,0)</f>
        <v>6631</v>
      </c>
      <c r="L5" s="227">
        <f t="shared" ref="L5:L15" si="3">ROUND(L4*1.01,0)</f>
        <v>8875</v>
      </c>
    </row>
    <row r="6" spans="1:12" x14ac:dyDescent="0.25">
      <c r="A6" s="83">
        <v>1920</v>
      </c>
      <c r="B6" s="216">
        <f t="shared" si="0"/>
        <v>150.72</v>
      </c>
      <c r="C6" s="217">
        <f>ROUND(C5*1,2)</f>
        <v>491.84</v>
      </c>
      <c r="D6" s="218">
        <f t="shared" si="1"/>
        <v>161.83000000000001</v>
      </c>
      <c r="E6" s="228">
        <f>ROUND(E5*1.02,0)</f>
        <v>93887</v>
      </c>
      <c r="F6" s="226">
        <f>ROUND(F5*1.02,0)</f>
        <v>72434</v>
      </c>
      <c r="G6" s="229">
        <f>ROUND(G5*1.02,0)</f>
        <v>94822</v>
      </c>
      <c r="H6" s="229">
        <f>ROUND(H5*1.02,0)</f>
        <v>73848</v>
      </c>
      <c r="I6" s="223">
        <f>ROUND((25.64*1/12+25.9*11/12)*35*2*26,0)</f>
        <v>47099</v>
      </c>
      <c r="J6" s="225">
        <f t="shared" si="2"/>
        <v>73470</v>
      </c>
      <c r="K6" s="226">
        <f t="shared" ref="K6:K15" si="4">ROUND(K5*1.01,0)</f>
        <v>6697</v>
      </c>
      <c r="L6" s="227">
        <f t="shared" si="3"/>
        <v>8964</v>
      </c>
    </row>
    <row r="7" spans="1:12" x14ac:dyDescent="0.25">
      <c r="A7" s="83">
        <v>2021</v>
      </c>
      <c r="B7" s="216">
        <f t="shared" si="0"/>
        <v>153.72999999999999</v>
      </c>
      <c r="C7" s="217">
        <f>ROUND(C5*1.06,2)</f>
        <v>521.35</v>
      </c>
      <c r="D7" s="218">
        <f t="shared" si="1"/>
        <v>165.07</v>
      </c>
      <c r="E7" s="228">
        <f t="shared" ref="E7:E15" si="5">ROUND(E6*1.02,0)</f>
        <v>95765</v>
      </c>
      <c r="F7" s="226">
        <f t="shared" ref="F7:F15" si="6">ROUND(F6*1.02,0)</f>
        <v>73883</v>
      </c>
      <c r="G7" s="229">
        <f t="shared" ref="G7:H15" si="7">ROUND(G6*1.02,0)</f>
        <v>96718</v>
      </c>
      <c r="H7" s="229">
        <f t="shared" si="7"/>
        <v>75325</v>
      </c>
      <c r="I7" s="226">
        <f>ROUND(I6*1.02,0)</f>
        <v>48041</v>
      </c>
      <c r="J7" s="225">
        <f t="shared" si="2"/>
        <v>73470</v>
      </c>
      <c r="K7" s="226">
        <f t="shared" si="4"/>
        <v>6764</v>
      </c>
      <c r="L7" s="227">
        <f t="shared" si="3"/>
        <v>9054</v>
      </c>
    </row>
    <row r="8" spans="1:12" x14ac:dyDescent="0.25">
      <c r="A8" s="83">
        <v>2122</v>
      </c>
      <c r="B8" s="216">
        <f t="shared" si="0"/>
        <v>156.80000000000001</v>
      </c>
      <c r="C8" s="217">
        <f>ROUND(C7*1,2)</f>
        <v>521.35</v>
      </c>
      <c r="D8" s="218">
        <f t="shared" si="1"/>
        <v>168.37</v>
      </c>
      <c r="E8" s="228">
        <f t="shared" si="5"/>
        <v>97680</v>
      </c>
      <c r="F8" s="226">
        <f t="shared" si="6"/>
        <v>75361</v>
      </c>
      <c r="G8" s="229">
        <f t="shared" si="7"/>
        <v>98652</v>
      </c>
      <c r="H8" s="229">
        <f t="shared" si="7"/>
        <v>76832</v>
      </c>
      <c r="I8" s="226">
        <f t="shared" ref="I8:I15" si="8">ROUND(I7*1.02,0)</f>
        <v>49002</v>
      </c>
      <c r="J8" s="225">
        <f t="shared" si="2"/>
        <v>73470</v>
      </c>
      <c r="K8" s="226">
        <f t="shared" si="4"/>
        <v>6832</v>
      </c>
      <c r="L8" s="227">
        <f t="shared" si="3"/>
        <v>9145</v>
      </c>
    </row>
    <row r="9" spans="1:12" x14ac:dyDescent="0.25">
      <c r="A9" s="83">
        <v>2223</v>
      </c>
      <c r="B9" s="216">
        <f t="shared" si="0"/>
        <v>159.94</v>
      </c>
      <c r="C9" s="217">
        <f>ROUND(C7*1.06,2)</f>
        <v>552.63</v>
      </c>
      <c r="D9" s="218">
        <f t="shared" si="1"/>
        <v>171.74</v>
      </c>
      <c r="E9" s="228">
        <f t="shared" si="5"/>
        <v>99634</v>
      </c>
      <c r="F9" s="226">
        <f t="shared" si="6"/>
        <v>76868</v>
      </c>
      <c r="G9" s="229">
        <f t="shared" si="7"/>
        <v>100625</v>
      </c>
      <c r="H9" s="229">
        <f t="shared" si="7"/>
        <v>78369</v>
      </c>
      <c r="I9" s="226">
        <f t="shared" si="8"/>
        <v>49982</v>
      </c>
      <c r="J9" s="225">
        <f t="shared" si="2"/>
        <v>73470</v>
      </c>
      <c r="K9" s="226">
        <f t="shared" si="4"/>
        <v>6900</v>
      </c>
      <c r="L9" s="227">
        <f t="shared" si="3"/>
        <v>9236</v>
      </c>
    </row>
    <row r="10" spans="1:12" x14ac:dyDescent="0.25">
      <c r="A10" s="83">
        <v>2324</v>
      </c>
      <c r="B10" s="216">
        <f t="shared" si="0"/>
        <v>163.13999999999999</v>
      </c>
      <c r="C10" s="217">
        <f>ROUND(C9*1,2)</f>
        <v>552.63</v>
      </c>
      <c r="D10" s="218">
        <f t="shared" si="1"/>
        <v>175.17</v>
      </c>
      <c r="E10" s="228">
        <f t="shared" si="5"/>
        <v>101627</v>
      </c>
      <c r="F10" s="226">
        <f t="shared" si="6"/>
        <v>78405</v>
      </c>
      <c r="G10" s="229">
        <f t="shared" si="7"/>
        <v>102638</v>
      </c>
      <c r="H10" s="229">
        <f t="shared" si="7"/>
        <v>79936</v>
      </c>
      <c r="I10" s="226">
        <f t="shared" si="8"/>
        <v>50982</v>
      </c>
      <c r="J10" s="225">
        <f t="shared" si="2"/>
        <v>73470</v>
      </c>
      <c r="K10" s="226">
        <f t="shared" si="4"/>
        <v>6969</v>
      </c>
      <c r="L10" s="227">
        <f t="shared" si="3"/>
        <v>9328</v>
      </c>
    </row>
    <row r="11" spans="1:12" x14ac:dyDescent="0.25">
      <c r="A11" s="83">
        <v>2425</v>
      </c>
      <c r="B11" s="216">
        <f t="shared" si="0"/>
        <v>166.4</v>
      </c>
      <c r="C11" s="217">
        <f>ROUND(C9*1.06,2)</f>
        <v>585.79</v>
      </c>
      <c r="D11" s="218">
        <f t="shared" si="1"/>
        <v>178.67</v>
      </c>
      <c r="E11" s="228">
        <f t="shared" si="5"/>
        <v>103660</v>
      </c>
      <c r="F11" s="226">
        <f t="shared" si="6"/>
        <v>79973</v>
      </c>
      <c r="G11" s="229">
        <f t="shared" si="7"/>
        <v>104691</v>
      </c>
      <c r="H11" s="229">
        <f t="shared" si="7"/>
        <v>81535</v>
      </c>
      <c r="I11" s="226">
        <f t="shared" si="8"/>
        <v>52002</v>
      </c>
      <c r="J11" s="225">
        <f t="shared" si="2"/>
        <v>73470</v>
      </c>
      <c r="K11" s="226">
        <f t="shared" si="4"/>
        <v>7039</v>
      </c>
      <c r="L11" s="227">
        <f t="shared" si="3"/>
        <v>9421</v>
      </c>
    </row>
    <row r="12" spans="1:12" x14ac:dyDescent="0.25">
      <c r="A12" s="83">
        <v>2526</v>
      </c>
      <c r="B12" s="216">
        <f t="shared" si="0"/>
        <v>169.73</v>
      </c>
      <c r="C12" s="217">
        <f>ROUND(C11*1,2)</f>
        <v>585.79</v>
      </c>
      <c r="D12" s="218">
        <f t="shared" si="1"/>
        <v>182.24</v>
      </c>
      <c r="E12" s="228">
        <f t="shared" si="5"/>
        <v>105733</v>
      </c>
      <c r="F12" s="226">
        <f t="shared" si="6"/>
        <v>81572</v>
      </c>
      <c r="G12" s="229">
        <f t="shared" si="7"/>
        <v>106785</v>
      </c>
      <c r="H12" s="229">
        <f t="shared" si="7"/>
        <v>83166</v>
      </c>
      <c r="I12" s="226">
        <f t="shared" si="8"/>
        <v>53042</v>
      </c>
      <c r="J12" s="225">
        <f t="shared" si="2"/>
        <v>73470</v>
      </c>
      <c r="K12" s="226">
        <f t="shared" si="4"/>
        <v>7109</v>
      </c>
      <c r="L12" s="227">
        <f t="shared" si="3"/>
        <v>9515</v>
      </c>
    </row>
    <row r="13" spans="1:12" x14ac:dyDescent="0.25">
      <c r="A13" s="83">
        <v>2627</v>
      </c>
      <c r="B13" s="216">
        <f t="shared" si="0"/>
        <v>173.12</v>
      </c>
      <c r="C13" s="217">
        <f>ROUND(C11*1.06,2)</f>
        <v>620.94000000000005</v>
      </c>
      <c r="D13" s="218">
        <f t="shared" si="1"/>
        <v>185.88</v>
      </c>
      <c r="E13" s="228">
        <f t="shared" si="5"/>
        <v>107848</v>
      </c>
      <c r="F13" s="226">
        <f t="shared" si="6"/>
        <v>83203</v>
      </c>
      <c r="G13" s="229">
        <f t="shared" si="7"/>
        <v>108921</v>
      </c>
      <c r="H13" s="229">
        <f t="shared" si="7"/>
        <v>84829</v>
      </c>
      <c r="I13" s="226">
        <f t="shared" si="8"/>
        <v>54103</v>
      </c>
      <c r="J13" s="225">
        <f t="shared" si="2"/>
        <v>73470</v>
      </c>
      <c r="K13" s="226">
        <f t="shared" si="4"/>
        <v>7180</v>
      </c>
      <c r="L13" s="227">
        <f t="shared" si="3"/>
        <v>9610</v>
      </c>
    </row>
    <row r="14" spans="1:12" x14ac:dyDescent="0.25">
      <c r="A14" s="83">
        <v>2728</v>
      </c>
      <c r="B14" s="216">
        <f t="shared" si="0"/>
        <v>176.58</v>
      </c>
      <c r="C14" s="217">
        <f>ROUND(C13*1,2)</f>
        <v>620.94000000000005</v>
      </c>
      <c r="D14" s="218">
        <f t="shared" si="1"/>
        <v>189.6</v>
      </c>
      <c r="E14" s="228">
        <f t="shared" si="5"/>
        <v>110005</v>
      </c>
      <c r="F14" s="226">
        <f t="shared" si="6"/>
        <v>84867</v>
      </c>
      <c r="G14" s="229">
        <f t="shared" si="7"/>
        <v>111099</v>
      </c>
      <c r="H14" s="229">
        <f t="shared" si="7"/>
        <v>86526</v>
      </c>
      <c r="I14" s="226">
        <f t="shared" si="8"/>
        <v>55185</v>
      </c>
      <c r="J14" s="225">
        <f t="shared" si="2"/>
        <v>73470</v>
      </c>
      <c r="K14" s="226">
        <f t="shared" si="4"/>
        <v>7252</v>
      </c>
      <c r="L14" s="227">
        <f t="shared" si="3"/>
        <v>9706</v>
      </c>
    </row>
    <row r="15" spans="1:12" ht="15.75" thickBot="1" x14ac:dyDescent="0.3">
      <c r="A15" s="83">
        <v>2829</v>
      </c>
      <c r="B15" s="219">
        <f t="shared" si="0"/>
        <v>180.11</v>
      </c>
      <c r="C15" s="220">
        <f>ROUND(C13*1.06,2)</f>
        <v>658.2</v>
      </c>
      <c r="D15" s="221">
        <f t="shared" si="1"/>
        <v>193.39</v>
      </c>
      <c r="E15" s="230">
        <f t="shared" si="5"/>
        <v>112205</v>
      </c>
      <c r="F15" s="231">
        <f t="shared" si="6"/>
        <v>86564</v>
      </c>
      <c r="G15" s="232">
        <f t="shared" si="7"/>
        <v>113321</v>
      </c>
      <c r="H15" s="232">
        <f t="shared" si="7"/>
        <v>88257</v>
      </c>
      <c r="I15" s="231">
        <f t="shared" si="8"/>
        <v>56289</v>
      </c>
      <c r="J15" s="233">
        <f t="shared" si="2"/>
        <v>73470</v>
      </c>
      <c r="K15" s="231">
        <f t="shared" si="4"/>
        <v>7325</v>
      </c>
      <c r="L15" s="234">
        <f t="shared" si="3"/>
        <v>9803</v>
      </c>
    </row>
    <row r="16" spans="1:12" ht="15.75" thickBot="1" x14ac:dyDescent="0.3"/>
    <row r="17" spans="1:13" x14ac:dyDescent="0.25">
      <c r="B17" s="141" t="s">
        <v>155</v>
      </c>
      <c r="C17" s="182" t="s">
        <v>156</v>
      </c>
      <c r="D17" s="141" t="s">
        <v>155</v>
      </c>
      <c r="E17" s="193" t="s">
        <v>157</v>
      </c>
      <c r="F17" s="195" t="s">
        <v>157</v>
      </c>
      <c r="G17" s="195" t="s">
        <v>157</v>
      </c>
      <c r="H17" s="195" t="s">
        <v>157</v>
      </c>
      <c r="I17" s="194" t="s">
        <v>157</v>
      </c>
      <c r="J17" s="182">
        <v>0</v>
      </c>
      <c r="K17" s="193" t="s">
        <v>158</v>
      </c>
      <c r="L17" s="194" t="s">
        <v>158</v>
      </c>
      <c r="M17" t="s">
        <v>154</v>
      </c>
    </row>
    <row r="18" spans="1:13" ht="15.75" thickBot="1" x14ac:dyDescent="0.3">
      <c r="E18" s="448" t="s">
        <v>168</v>
      </c>
      <c r="F18" s="449"/>
      <c r="G18" s="449"/>
      <c r="H18" s="449"/>
      <c r="I18" s="450"/>
      <c r="K18" s="448" t="s">
        <v>167</v>
      </c>
      <c r="L18" s="450"/>
    </row>
    <row r="20" spans="1:13" x14ac:dyDescent="0.25">
      <c r="F20" s="196"/>
    </row>
    <row r="21" spans="1:13" x14ac:dyDescent="0.25">
      <c r="A21" s="111" t="s">
        <v>178</v>
      </c>
      <c r="B21" s="451" t="s">
        <v>177</v>
      </c>
      <c r="C21" s="451"/>
      <c r="F21" s="196"/>
    </row>
  </sheetData>
  <sheetProtection algorithmName="SHA-512" hashValue="bUG4edFkVNnp37IC/kTG25uXwwLSeOPkyctnoW/ipILCsNWY6Ylf2ohdGt7D30KYKWFYezAEZwqMKoqSTzLbBw==" saltValue="+yKD0UKB5P3qisK9vGB9vA==" spinCount="100000" sheet="1" objects="1" scenarios="1" selectLockedCells="1" selectUnlockedCells="1"/>
  <mergeCells count="5">
    <mergeCell ref="E18:I18"/>
    <mergeCell ref="K18:L18"/>
    <mergeCell ref="B21:C21"/>
    <mergeCell ref="B1:D1"/>
    <mergeCell ref="E1:L1"/>
  </mergeCells>
  <pageMargins left="0.47244094488188998" right="0.35433070866141703" top="0.74803149606299202" bottom="0.74803149606299202" header="0.31496062992126" footer="0.31496062992126"/>
  <pageSetup scale="54" orientation="portrait" r:id="rId1"/>
  <headerFooter>
    <oddFooter>&amp;L&amp;F; &amp;A&amp;RPage&amp;P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Coversheet</vt:lpstr>
      <vt:lpstr>Tuition Comparison</vt:lpstr>
      <vt:lpstr>Input Area</vt:lpstr>
      <vt:lpstr>Tuition Summary (view only)</vt:lpstr>
      <vt:lpstr>Budget (view only)</vt:lpstr>
      <vt:lpstr>Obj Data (view only)</vt:lpstr>
      <vt:lpstr>$ Data (view only)</vt:lpstr>
      <vt:lpstr>'Budget (view only)'!Print_Area</vt:lpstr>
      <vt:lpstr>Coversheet!Print_Area</vt:lpstr>
      <vt:lpstr>'Input Area'!Print_Area</vt:lpstr>
      <vt:lpstr>'Tuition Comparison'!Print_Area</vt:lpstr>
      <vt:lpstr>'Budget (view only)'!Print_Titles</vt:lpstr>
    </vt:vector>
  </TitlesOfParts>
  <Company>Vancouver Island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Klaassen</dc:creator>
  <cp:lastModifiedBy>Nicole Yusep</cp:lastModifiedBy>
  <cp:lastPrinted>2019-04-16T15:54:06Z</cp:lastPrinted>
  <dcterms:created xsi:type="dcterms:W3CDTF">2014-05-12T21:02:40Z</dcterms:created>
  <dcterms:modified xsi:type="dcterms:W3CDTF">2019-04-16T15:54:14Z</dcterms:modified>
</cp:coreProperties>
</file>